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655" firstSheet="1" activeTab="13"/>
  </bookViews>
  <sheets>
    <sheet name="Data" sheetId="1" state="hidden" r:id="rId1"/>
    <sheet name="KL" sheetId="2" r:id="rId2"/>
    <sheet name="VLBC" sheetId="3" state="hidden" r:id="rId3"/>
    <sheet name="VL" sheetId="4" r:id="rId4"/>
    <sheet name="NC" sheetId="5" r:id="rId5"/>
    <sheet name="LUONGNC" sheetId="6" state="hidden" r:id="rId6"/>
    <sheet name="MAY" sheetId="7" r:id="rId7"/>
    <sheet name="BuNL" sheetId="8" r:id="rId8"/>
    <sheet name="BuNCLM" sheetId="9" state="hidden" r:id="rId9"/>
    <sheet name="LUONGNCLM" sheetId="10" state="hidden" r:id="rId10"/>
    <sheet name="PTVUA" sheetId="11" state="hidden" r:id="rId11"/>
    <sheet name="PTDG" sheetId="12" r:id="rId12"/>
    <sheet name="THKP" sheetId="13" r:id="rId13"/>
    <sheet name="DGTongHop" sheetId="14" r:id="rId14"/>
    <sheet name="Info" sheetId="15" state="hidden" r:id="rId15"/>
  </sheets>
  <definedNames>
    <definedName name="_xlnm.Print_Titles" localSheetId="7">'BuNL'!$7:$7</definedName>
    <definedName name="_xlnm.Print_Titles" localSheetId="13">'DGTongHop'!$7:$7</definedName>
    <definedName name="_xlnm.Print_Titles" localSheetId="1">'KL'!$7:$7</definedName>
    <definedName name="_xlnm.Print_Titles" localSheetId="6">'MAY'!$6:$6</definedName>
    <definedName name="_xlnm.Print_Titles" localSheetId="4">'NC'!$6:$6</definedName>
    <definedName name="_xlnm.Print_Titles" localSheetId="11">'PTDG'!$6:$6</definedName>
    <definedName name="_xlnm.Print_Titles" localSheetId="12">'THKP'!$6:$6</definedName>
    <definedName name="_xlnm.Print_Titles" localSheetId="3">'VL'!$6:$6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<sst xmlns="http://schemas.openxmlformats.org/spreadsheetml/2006/main" count="636" uniqueCount="265">
  <si>
    <t>Bảng khối lượng</t>
  </si>
  <si>
    <t>Bảng phân tích vật tư</t>
  </si>
  <si>
    <t>Bảng giá vật liệu</t>
  </si>
  <si>
    <t>Bảng lương nhân công</t>
  </si>
  <si>
    <t>Bảng giá Ca máy Thiết bị thi công</t>
  </si>
  <si>
    <t>Bảng đơn giá Vữa</t>
  </si>
  <si>
    <t>Tên công trình</t>
  </si>
  <si>
    <t>Tên hạng mục</t>
  </si>
  <si>
    <t>Có in Footer hay không</t>
  </si>
  <si>
    <t>Kiểu chữ hiển thị Footer</t>
  </si>
  <si>
    <t>Canh trái, phải hay giữa khi in Footer</t>
  </si>
  <si>
    <t>Hình thức hiển thị ĐVT</t>
  </si>
  <si>
    <t>Có in phân tích Nhân công không</t>
  </si>
  <si>
    <t>Có in phân tích Ca máy không</t>
  </si>
  <si>
    <t>Có in Mã đơn giá trong Bảng tiên lượng không</t>
  </si>
  <si>
    <t>Căn cứ thực hiện bù cước vận chuyển</t>
  </si>
  <si>
    <t>Căn cứ thực hiện mua sắm thiết bị</t>
  </si>
  <si>
    <t>Tự động đổi ĐVT 100ĐV  ---&gt; 1ĐV</t>
  </si>
  <si>
    <t>LOẠI DỰ TOÁN  (0=Tính bù chênh lệch, 1=THVT và áp giá vật liệu, 2=phân tích đơn giá chi tiết)</t>
  </si>
  <si>
    <t>Có tính bù chênh lệch VLK hay không</t>
  </si>
  <si>
    <t>Không phân tích chi tiết Vữa</t>
  </si>
  <si>
    <t>Người kiểm</t>
  </si>
  <si>
    <t>Người tính</t>
  </si>
  <si>
    <t>Cơ quan chủ quản</t>
  </si>
  <si>
    <t>Phòng chức danh</t>
  </si>
  <si>
    <t>Tên cơ quan đầu tư</t>
  </si>
  <si>
    <t>Địa danh</t>
  </si>
  <si>
    <t>Năm thông báo</t>
  </si>
  <si>
    <t>Có in phân tích Ca máy khác không</t>
  </si>
  <si>
    <t>Có in phân tích Vật liệu khác không</t>
  </si>
  <si>
    <t>Tên cơ quan</t>
  </si>
  <si>
    <t>Tháng thông báo</t>
  </si>
  <si>
    <t>không</t>
  </si>
  <si>
    <t>mươi</t>
  </si>
  <si>
    <t>một mươi</t>
  </si>
  <si>
    <t>mười</t>
  </si>
  <si>
    <t>Số quá lớn</t>
  </si>
  <si>
    <t>một</t>
  </si>
  <si>
    <t>trăm</t>
  </si>
  <si>
    <t>không mươi</t>
  </si>
  <si>
    <t>lẻ</t>
  </si>
  <si>
    <t>Âm</t>
  </si>
  <si>
    <t>hai</t>
  </si>
  <si>
    <t>ngàn</t>
  </si>
  <si>
    <t>lẻ không</t>
  </si>
  <si>
    <t>đồng</t>
  </si>
  <si>
    <t>ba</t>
  </si>
  <si>
    <t>mươi năm</t>
  </si>
  <si>
    <t>mươi lăm</t>
  </si>
  <si>
    <t>Bằng chữ:</t>
  </si>
  <si>
    <t>bốn</t>
  </si>
  <si>
    <t>mười năm</t>
  </si>
  <si>
    <t>mười lăm</t>
  </si>
  <si>
    <t>năm</t>
  </si>
  <si>
    <t>triệu</t>
  </si>
  <si>
    <t>mươi một</t>
  </si>
  <si>
    <t>mươi mốt</t>
  </si>
  <si>
    <t>sáu</t>
  </si>
  <si>
    <t>mười không</t>
  </si>
  <si>
    <t>bảy</t>
  </si>
  <si>
    <t>mươi không</t>
  </si>
  <si>
    <t>tám</t>
  </si>
  <si>
    <t>tỷ</t>
  </si>
  <si>
    <t>không trăm tỷ</t>
  </si>
  <si>
    <t>chín</t>
  </si>
  <si>
    <t>không trăm triệu</t>
  </si>
  <si>
    <t>không trăm ngàn</t>
  </si>
  <si>
    <t>không trăm</t>
  </si>
  <si>
    <t xml:space="preserve"> </t>
  </si>
  <si>
    <t>Bù nhân công lái máy</t>
  </si>
  <si>
    <t>Bảng phân tích đơn giá xây dựng</t>
  </si>
  <si>
    <t>Bảng tính chi phí xây dựng</t>
  </si>
  <si>
    <t>Bảng tổng hợp dự toán chi phí xây dựng</t>
  </si>
  <si>
    <t>Tính Lương NC</t>
  </si>
  <si>
    <t>VAT</t>
  </si>
  <si>
    <t>Điều kiện</t>
  </si>
  <si>
    <t>Bảng hệ số và định mức chi phí</t>
  </si>
  <si>
    <t>Hệ số</t>
  </si>
  <si>
    <t>Định dạng</t>
  </si>
  <si>
    <t>Tính Ca máy theo TT06/2010</t>
  </si>
  <si>
    <t>LTT Chung - TT06/2010</t>
  </si>
  <si>
    <t>ĐƠN GIÁ XÂY DỰNG CÔNG TRÌNH</t>
  </si>
  <si>
    <t>BẢNG KHỐI LƯỢNG</t>
  </si>
  <si>
    <t>BẢNG PHÂN TÍCH VẬT TƯ</t>
  </si>
  <si>
    <t>BẢNG GIÁ VẬT LIỆU ĐẾN HIỆN TRƯỜNG XÂY LẮP</t>
  </si>
  <si>
    <t>BẢNG TÍNH LƯƠNG NHÂN CÔNG XÂY DỰNG</t>
  </si>
  <si>
    <t>BẢNG LƯƠNG NHÂN CÔNG</t>
  </si>
  <si>
    <t>BẢNG GIÁ CA MÁY VÀ THIẾT BỊ THI CÔNG</t>
  </si>
  <si>
    <t>TỔNG HỢP CA MÁY - BÙ CHÊNH LỆCH NHIÊN LIỆU</t>
  </si>
  <si>
    <t>TỔNG HỢP CA MÁY - BÙ CHÊNH LỆCH NHÂN CÔNG ĐIỀU KHIỂN MÁY</t>
  </si>
  <si>
    <t>BẢNG TÍNH LƯƠNG NHÂN CÔNG LÁI MÁY (LƯƠNG NĂM 2006)</t>
  </si>
  <si>
    <t>BẢNG TÍNH LƯƠNG NHÂN CÔNG LÁI MÁY (LƯƠNG NĂM 2013)</t>
  </si>
  <si>
    <t>TỔNG HỢP CA MÁY - CHI PHÍ NHÂN CÔNG ĐIỀU KHIỂN MÁY</t>
  </si>
  <si>
    <t>BẢNG TÍNH LƯƠNG NHÂN CÔNG ĐIỀU KHIỂN MÁY</t>
  </si>
  <si>
    <t>BẢNG TÍNH GIÁ CA MÁY VÀ THIẾT BỊ THI CÔNG</t>
  </si>
  <si>
    <t>PHÂN TÍCH ĐƠN GIÁ VỮA</t>
  </si>
  <si>
    <t>BẢNG PHÂN TÍCH ĐƠN GIÁ XÂY DỰNG</t>
  </si>
  <si>
    <t>BẢNG TÍNH CHI PHÍ XÂY DỰNG</t>
  </si>
  <si>
    <t>BẢNG TỔNG HỢP DỰ TOÁN CHI PHÍ XÂY DỰNG</t>
  </si>
  <si>
    <t>UBND Thành phố Hồ Chí Minh</t>
  </si>
  <si>
    <t>TP. HCM</t>
  </si>
  <si>
    <t>BẢNG TỔNG HỢP DỰ TOÁN CÔNG TRÌNH</t>
  </si>
  <si>
    <t>CÔNG TY TNHH TƯ VẤN ĐT &amp; XD LỘC THIÊN</t>
  </si>
  <si>
    <t>XÂY DỰNG MỚI</t>
  </si>
  <si>
    <t>TT04/2010</t>
  </si>
  <si>
    <t>STT</t>
  </si>
  <si>
    <t>Mã hiệu</t>
  </si>
  <si>
    <t>Nội dung công việc</t>
  </si>
  <si>
    <t>Số BPGN</t>
  </si>
  <si>
    <t>Kích thước</t>
  </si>
  <si>
    <t>Dài</t>
  </si>
  <si>
    <t>Rộng</t>
  </si>
  <si>
    <t>Cao</t>
  </si>
  <si>
    <t>S.Phụ</t>
  </si>
  <si>
    <t>ĐVT</t>
  </si>
  <si>
    <t>Khối lượng</t>
  </si>
  <si>
    <t>Từng phần</t>
  </si>
  <si>
    <t>Toàn phần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</si>
  <si>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</si>
  <si>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</si>
  <si>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</si>
  <si>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</si>
  <si>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</si>
  <si>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</si>
  <si>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</si>
  <si>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</si>
  <si>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</si>
  <si>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</si>
  <si>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</si>
  <si>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I. PHẦN MÓNG</t>
  </si>
  <si>
    <t>AB.11313</t>
  </si>
  <si>
    <t>Đào móng băng rộng &lt;=3m sâu &lt;=1 m đất cấp III</t>
  </si>
  <si>
    <r>
      <t>1 m</t>
    </r>
    <r>
      <rPr>
        <vertAlign val="superscript"/>
        <sz val="12"/>
        <rFont val="Times New Roman"/>
        <family val="1"/>
      </rPr>
      <t>3</t>
    </r>
  </si>
  <si>
    <t>:50</t>
  </si>
  <si>
    <t>AF.11111</t>
  </si>
  <si>
    <t>Bê tông lót móng chiều rộng &lt;=250 cm vữa Mác 100 XMPC30 đá 4x6</t>
  </si>
  <si>
    <t>:120</t>
  </si>
  <si>
    <t>TT</t>
  </si>
  <si>
    <t>Dọn dẹp vệ sinh</t>
  </si>
  <si>
    <t>1 công</t>
  </si>
  <si>
    <t>:5</t>
  </si>
  <si>
    <t>Loại vật liệu</t>
  </si>
  <si>
    <t>Đơn giá gốc của vật liệu</t>
  </si>
  <si>
    <t>Chi phí đến công trường</t>
  </si>
  <si>
    <t>Giá đến chân CT</t>
  </si>
  <si>
    <t>[6]=[4]+[5]</t>
  </si>
  <si>
    <t>Thành tiền</t>
  </si>
  <si>
    <t>[9]=[6]*[7]*[8]</t>
  </si>
  <si>
    <t>Cát vàng hạt to</t>
  </si>
  <si>
    <t>V240188</t>
  </si>
  <si>
    <r>
      <t>m</t>
    </r>
    <r>
      <rPr>
        <vertAlign val="superscript"/>
        <sz val="12"/>
        <rFont val="Times New Roman"/>
        <family val="1"/>
      </rPr>
      <t>3</t>
    </r>
  </si>
  <si>
    <t>Đá dăm 4x6</t>
  </si>
  <si>
    <t>V240010</t>
  </si>
  <si>
    <t>Nước</t>
  </si>
  <si>
    <t>V240568</t>
  </si>
  <si>
    <t>lít</t>
  </si>
  <si>
    <t>Xi măng PC30</t>
  </si>
  <si>
    <t>V240857</t>
  </si>
  <si>
    <t>kg</t>
  </si>
  <si>
    <t>Tổng cộng:</t>
  </si>
  <si>
    <t>Tên nhân công</t>
  </si>
  <si>
    <t>Đơn vị</t>
  </si>
  <si>
    <t>Lương ngày công</t>
  </si>
  <si>
    <t>[7]=[4]*[5]*[6]</t>
  </si>
  <si>
    <t>Nhân công 3,0/7 (Nhóm I)</t>
  </si>
  <si>
    <t>công</t>
  </si>
  <si>
    <t>N24307</t>
  </si>
  <si>
    <t>NTT Dọn dẹp vệ sinh</t>
  </si>
  <si>
    <t>Công</t>
  </si>
  <si>
    <t>NTT3</t>
  </si>
  <si>
    <t>Thiết bị máy thi công</t>
  </si>
  <si>
    <t>Định mức hao phí nhiên liệu</t>
  </si>
  <si>
    <t>Diezel</t>
  </si>
  <si>
    <t>Xăng</t>
  </si>
  <si>
    <t>Điện</t>
  </si>
  <si>
    <t>Mazut</t>
  </si>
  <si>
    <t>Khối lượng hao phí nhiên liệu</t>
  </si>
  <si>
    <t>[12]</t>
  </si>
  <si>
    <t>Giá gốc</t>
  </si>
  <si>
    <t>[13]</t>
  </si>
  <si>
    <t>Chênh lệch NL/ca</t>
  </si>
  <si>
    <t>[14]</t>
  </si>
  <si>
    <t>Ref</t>
  </si>
  <si>
    <t>[15]</t>
  </si>
  <si>
    <t>Chênh lệch</t>
  </si>
  <si>
    <t>Đ/lít</t>
  </si>
  <si>
    <t>Đ/kwh</t>
  </si>
  <si>
    <t>Hệ số chi phí nhiên liệu phụ</t>
  </si>
  <si>
    <t>Hệ số điều chỉnh ca máy</t>
  </si>
  <si>
    <t>Đầm bàn 1Kw</t>
  </si>
  <si>
    <t>ca</t>
  </si>
  <si>
    <t>M240018</t>
  </si>
  <si>
    <t>Máy trộn bê tông 250l</t>
  </si>
  <si>
    <t>M240192</t>
  </si>
  <si>
    <t>HSĐC Máy</t>
  </si>
  <si>
    <t>Chênh lệch NL/Ca</t>
  </si>
  <si>
    <t>Chênh lệch NC/Ca</t>
  </si>
  <si>
    <t>Giá ca máy</t>
  </si>
  <si>
    <t>[10]=[4]*[8]*[9]</t>
  </si>
  <si>
    <t>Ghi chú:</t>
  </si>
  <si>
    <t>[8]=[5] x [6] + [7]</t>
  </si>
  <si>
    <t>Chi phí nhân công</t>
  </si>
  <si>
    <t>Chi phí máy thi công</t>
  </si>
  <si>
    <t>Chi phí trực tiếp khác</t>
  </si>
  <si>
    <t>Chi phí chung</t>
  </si>
  <si>
    <t>Thu nhập chịu thuế tính trước</t>
  </si>
  <si>
    <t>Thuế giá trị gia tăng</t>
  </si>
  <si>
    <t>Chi phí nhà tạm</t>
  </si>
  <si>
    <t>giảm giá</t>
  </si>
  <si>
    <t>Định mức</t>
  </si>
  <si>
    <t>Đơn giá</t>
  </si>
  <si>
    <t>Ký hiệu</t>
  </si>
  <si>
    <t>Nhân công:</t>
  </si>
  <si>
    <t>B1</t>
  </si>
  <si>
    <t>Chi phí vật liệu</t>
  </si>
  <si>
    <t>VL</t>
  </si>
  <si>
    <t>NC</t>
  </si>
  <si>
    <t>M</t>
  </si>
  <si>
    <t>TTVL</t>
  </si>
  <si>
    <t>Cộng trực tiếp phí</t>
  </si>
  <si>
    <t>TVL</t>
  </si>
  <si>
    <t>CVL</t>
  </si>
  <si>
    <t>TLVL</t>
  </si>
  <si>
    <t>Chi phí xây dựng trước thuế</t>
  </si>
  <si>
    <t>GVL</t>
  </si>
  <si>
    <t>GTGTVL</t>
  </si>
  <si>
    <t>Chi phí xây dựng sau thuế</t>
  </si>
  <si>
    <t>GXDVL</t>
  </si>
  <si>
    <t>GXDNTVL</t>
  </si>
  <si>
    <t>CỘNG VẬT LIỆU</t>
  </si>
  <si>
    <t>VATLIEU</t>
  </si>
  <si>
    <t>TTNC</t>
  </si>
  <si>
    <t>TNC</t>
  </si>
  <si>
    <t>CNC</t>
  </si>
  <si>
    <t>TLNC</t>
  </si>
  <si>
    <t>GNC</t>
  </si>
  <si>
    <t>GTGTNC</t>
  </si>
  <si>
    <t>GXDNC</t>
  </si>
  <si>
    <t>GXDNTNC</t>
  </si>
  <si>
    <t>CỘNG NHÂN CÔNG</t>
  </si>
  <si>
    <t>NHANCONG</t>
  </si>
  <si>
    <t>TTM</t>
  </si>
  <si>
    <t>TM</t>
  </si>
  <si>
    <t>CM</t>
  </si>
  <si>
    <t>TLM</t>
  </si>
  <si>
    <t>GM</t>
  </si>
  <si>
    <t>GTGTM</t>
  </si>
  <si>
    <t>GXDM</t>
  </si>
  <si>
    <t>GXDNTM</t>
  </si>
  <si>
    <t>CỘNG MÁY</t>
  </si>
  <si>
    <t>MAY</t>
  </si>
  <si>
    <t>TONGCONG</t>
  </si>
  <si>
    <t>Vật liệu:</t>
  </si>
  <si>
    <t>A1</t>
  </si>
  <si>
    <t>Máy thi công:</t>
  </si>
  <si>
    <t>C1</t>
  </si>
  <si>
    <t>K.Lượng</t>
  </si>
  <si>
    <t xml:space="preserve">TỔNG CỘNG: </t>
  </si>
  <si>
    <t>Tên công việc</t>
  </si>
  <si>
    <t>Vật liệu</t>
  </si>
  <si>
    <t>Vật liệu phụ</t>
  </si>
  <si>
    <t>Nhân công</t>
  </si>
  <si>
    <t>Máy</t>
  </si>
  <si>
    <t>Tổng cộng</t>
  </si>
  <si>
    <t>TỔNG CỘNG: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</si>
</sst>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[Red]\-#,###;\ ;"/>
    <numFmt numFmtId="165" formatCode="#,###;\-#,###;\ ;"/>
    <numFmt numFmtId="166" formatCode="##,##0.000;\-##,##0.000;\ ;"/>
    <numFmt numFmtId="167" formatCode="#,###;\-#,###;0;"/>
    <numFmt numFmtId="168" formatCode="#,###;[Red]\-#,###;0;"/>
    <numFmt numFmtId="169" formatCode="#,##0.000;\-#,##0.000;0;"/>
    <numFmt numFmtId="170" formatCode="##,##0.000;[Red]\-##,##0.000;\ ;"/>
    <numFmt numFmtId="171" formatCode="#,##0.0000;[Red]\-#,##0.0000;\ ;"/>
    <numFmt numFmtId="172" formatCode="#,##0.00;[Red]\-#,##0.00;\ ;"/>
    <numFmt numFmtId="173" formatCode="#,##0.000;[Red]\-#,##0.000;\ ;"/>
    <numFmt numFmtId="174" formatCode="#,###;[Red]\-#,###;;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7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6" borderId="0" xfId="57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left" vertical="top"/>
    </xf>
    <xf numFmtId="0" fontId="5" fillId="0" borderId="7" xfId="57" applyFont="1" applyFill="1" applyBorder="1" applyAlignment="1">
      <alignment horizontal="left" vertical="top" wrapText="1"/>
      <protection/>
    </xf>
    <xf numFmtId="0" fontId="5" fillId="6" borderId="0" xfId="57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5" fillId="24" borderId="7" xfId="57" applyFont="1" applyFill="1" applyBorder="1" applyAlignment="1">
      <alignment wrapText="1"/>
      <protection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0" xfId="0" applyNumberFormat="1" applyFill="1" applyAlignment="1">
      <alignment/>
    </xf>
    <xf numFmtId="0" fontId="5" fillId="0" borderId="7" xfId="57" applyNumberFormat="1" applyFont="1" applyFill="1" applyBorder="1" applyAlignment="1">
      <alignment wrapText="1"/>
      <protection/>
    </xf>
    <xf numFmtId="0" fontId="5" fillId="6" borderId="0" xfId="57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7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27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1" fillId="0" borderId="11" xfId="0" applyFont="1" applyBorder="1" applyAlignment="1" quotePrefix="1">
      <alignment vertical="top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 quotePrefix="1">
      <alignment horizontal="center" vertical="top" wrapText="1"/>
    </xf>
    <xf numFmtId="0" fontId="27" fillId="0" borderId="10" xfId="0" applyFont="1" applyBorder="1" applyAlignment="1" quotePrefix="1">
      <alignment vertical="top" wrapText="1"/>
    </xf>
    <xf numFmtId="166" fontId="27" fillId="0" borderId="10" xfId="0" applyNumberFormat="1" applyFont="1" applyBorder="1" applyAlignment="1">
      <alignment vertical="top" wrapText="1"/>
    </xf>
    <xf numFmtId="166" fontId="31" fillId="0" borderId="10" xfId="0" applyNumberFormat="1" applyFont="1" applyBorder="1" applyAlignment="1">
      <alignment vertical="top" wrapText="1"/>
    </xf>
    <xf numFmtId="0" fontId="31" fillId="0" borderId="0" xfId="0" applyFont="1" applyAlignment="1">
      <alignment vertical="top"/>
    </xf>
    <xf numFmtId="0" fontId="27" fillId="0" borderId="10" xfId="0" applyFont="1" applyBorder="1" applyAlignment="1" quotePrefix="1">
      <alignment horizontal="left" vertical="top" wrapText="1" indent="1"/>
    </xf>
    <xf numFmtId="0" fontId="27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 quotePrefix="1">
      <alignment vertical="top" wrapText="1"/>
    </xf>
    <xf numFmtId="0" fontId="27" fillId="0" borderId="16" xfId="0" applyFont="1" applyBorder="1" applyAlignment="1" quotePrefix="1">
      <alignment horizontal="center" vertical="top" wrapText="1"/>
    </xf>
    <xf numFmtId="165" fontId="27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6" xfId="0" applyNumberFormat="1" applyFont="1" applyBorder="1" applyAlignment="1">
      <alignment vertical="top" wrapText="1"/>
    </xf>
    <xf numFmtId="169" fontId="27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7" xfId="0" applyFont="1" applyBorder="1" applyAlignment="1" quotePrefix="1">
      <alignment vertical="top" wrapText="1"/>
    </xf>
    <xf numFmtId="0" fontId="27" fillId="0" borderId="17" xfId="0" applyFont="1" applyBorder="1" applyAlignment="1" quotePrefix="1">
      <alignment horizontal="center" vertical="top" wrapText="1"/>
    </xf>
    <xf numFmtId="165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7" xfId="0" applyNumberFormat="1" applyFont="1" applyBorder="1" applyAlignment="1">
      <alignment vertical="top" wrapText="1"/>
    </xf>
    <xf numFmtId="169" fontId="27" fillId="0" borderId="17" xfId="0" applyNumberFormat="1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8" xfId="0" applyFont="1" applyBorder="1" applyAlignment="1" quotePrefix="1">
      <alignment vertical="top" wrapText="1"/>
    </xf>
    <xf numFmtId="0" fontId="27" fillId="0" borderId="18" xfId="0" applyFont="1" applyBorder="1" applyAlignment="1" quotePrefix="1">
      <alignment horizontal="center" vertical="top" wrapText="1"/>
    </xf>
    <xf numFmtId="165" fontId="27" fillId="0" borderId="18" xfId="0" applyNumberFormat="1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8" xfId="0" applyNumberFormat="1" applyFont="1" applyBorder="1" applyAlignment="1">
      <alignment vertical="top" wrapText="1"/>
    </xf>
    <xf numFmtId="169" fontId="27" fillId="0" borderId="18" xfId="0" applyNumberFormat="1" applyFont="1" applyBorder="1" applyAlignment="1">
      <alignment vertical="top" wrapText="1"/>
    </xf>
    <xf numFmtId="0" fontId="31" fillId="0" borderId="10" xfId="0" applyFont="1" applyBorder="1" applyAlignment="1">
      <alignment horizontal="right" vertical="top" wrapText="1"/>
    </xf>
    <xf numFmtId="165" fontId="31" fillId="0" borderId="10" xfId="0" applyNumberFormat="1" applyFont="1" applyBorder="1" applyAlignment="1">
      <alignment vertical="top" wrapText="1"/>
    </xf>
    <xf numFmtId="164" fontId="27" fillId="0" borderId="16" xfId="0" applyNumberFormat="1" applyFont="1" applyBorder="1" applyAlignment="1">
      <alignment vertical="top" wrapText="1"/>
    </xf>
    <xf numFmtId="164" fontId="27" fillId="0" borderId="17" xfId="0" applyNumberFormat="1" applyFont="1" applyBorder="1" applyAlignment="1">
      <alignment vertical="top" wrapText="1"/>
    </xf>
    <xf numFmtId="164" fontId="27" fillId="0" borderId="18" xfId="0" applyNumberFormat="1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/>
    </xf>
    <xf numFmtId="164" fontId="27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right" vertical="top" wrapText="1"/>
    </xf>
    <xf numFmtId="170" fontId="27" fillId="0" borderId="16" xfId="0" applyNumberFormat="1" applyFont="1" applyBorder="1" applyAlignment="1">
      <alignment vertical="top" wrapText="1"/>
    </xf>
    <xf numFmtId="170" fontId="27" fillId="0" borderId="18" xfId="0" applyNumberFormat="1" applyFont="1" applyBorder="1" applyAlignment="1">
      <alignment vertical="top" wrapText="1"/>
    </xf>
    <xf numFmtId="171" fontId="27" fillId="0" borderId="16" xfId="0" applyNumberFormat="1" applyFont="1" applyBorder="1" applyAlignment="1">
      <alignment horizontal="right" vertical="top" wrapText="1"/>
    </xf>
    <xf numFmtId="172" fontId="27" fillId="0" borderId="16" xfId="0" applyNumberFormat="1" applyFont="1" applyBorder="1" applyAlignment="1">
      <alignment horizontal="right" vertical="top" wrapText="1"/>
    </xf>
    <xf numFmtId="164" fontId="27" fillId="0" borderId="16" xfId="0" applyNumberFormat="1" applyFont="1" applyBorder="1" applyAlignment="1">
      <alignment horizontal="right" vertical="top" wrapText="1"/>
    </xf>
    <xf numFmtId="171" fontId="27" fillId="0" borderId="18" xfId="0" applyNumberFormat="1" applyFont="1" applyBorder="1" applyAlignment="1">
      <alignment horizontal="right" vertical="top" wrapText="1"/>
    </xf>
    <xf numFmtId="172" fontId="27" fillId="0" borderId="18" xfId="0" applyNumberFormat="1" applyFont="1" applyBorder="1" applyAlignment="1">
      <alignment horizontal="right" vertical="top" wrapText="1"/>
    </xf>
    <xf numFmtId="164" fontId="27" fillId="0" borderId="18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NumberFormat="1" applyFont="1" applyBorder="1" applyAlignment="1">
      <alignment horizontal="center" vertical="top" wrapText="1"/>
    </xf>
    <xf numFmtId="0" fontId="2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10" fontId="0" fillId="0" borderId="10" xfId="0" applyNumberFormat="1" applyBorder="1" applyAlignment="1">
      <alignment vertical="top" wrapText="1"/>
    </xf>
    <xf numFmtId="173" fontId="27" fillId="0" borderId="0" xfId="0" applyNumberFormat="1" applyFont="1" applyAlignment="1">
      <alignment vertical="top"/>
    </xf>
    <xf numFmtId="171" fontId="27" fillId="0" borderId="0" xfId="0" applyNumberFormat="1" applyFont="1" applyAlignment="1">
      <alignment vertical="top"/>
    </xf>
    <xf numFmtId="0" fontId="31" fillId="0" borderId="16" xfId="0" applyFont="1" applyBorder="1" applyAlignment="1" quotePrefix="1">
      <alignment vertical="top" wrapText="1"/>
    </xf>
    <xf numFmtId="168" fontId="31" fillId="0" borderId="16" xfId="0" applyNumberFormat="1" applyFont="1" applyBorder="1" applyAlignment="1">
      <alignment vertical="top" wrapText="1"/>
    </xf>
    <xf numFmtId="168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left" vertical="top" wrapText="1"/>
    </xf>
    <xf numFmtId="0" fontId="31" fillId="0" borderId="17" xfId="0" applyFont="1" applyBorder="1" applyAlignment="1">
      <alignment vertical="top" wrapText="1"/>
    </xf>
    <xf numFmtId="0" fontId="31" fillId="0" borderId="17" xfId="0" applyFont="1" applyBorder="1" applyAlignment="1" quotePrefix="1">
      <alignment vertical="top" wrapText="1"/>
    </xf>
    <xf numFmtId="0" fontId="31" fillId="0" borderId="17" xfId="0" applyFont="1" applyBorder="1" applyAlignment="1">
      <alignment horizontal="left" vertical="top" wrapText="1"/>
    </xf>
    <xf numFmtId="168" fontId="31" fillId="0" borderId="17" xfId="0" applyNumberFormat="1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31" fillId="0" borderId="18" xfId="0" applyFont="1" applyBorder="1" applyAlignment="1">
      <alignment horizontal="left" vertical="top" wrapText="1"/>
    </xf>
    <xf numFmtId="168" fontId="31" fillId="0" borderId="18" xfId="0" applyNumberFormat="1" applyFont="1" applyBorder="1" applyAlignment="1">
      <alignment vertical="top" wrapText="1"/>
    </xf>
    <xf numFmtId="0" fontId="27" fillId="0" borderId="17" xfId="0" applyFont="1" applyBorder="1" applyAlignment="1" quotePrefix="1">
      <alignment horizontal="left" vertical="top" wrapText="1" indent="1"/>
    </xf>
    <xf numFmtId="0" fontId="33" fillId="0" borderId="16" xfId="0" applyFont="1" applyBorder="1" applyAlignment="1">
      <alignment horizontal="center" vertical="top" wrapText="1"/>
    </xf>
    <xf numFmtId="0" fontId="33" fillId="0" borderId="17" xfId="0" applyFont="1" applyBorder="1" applyAlignment="1" quotePrefix="1">
      <alignment horizontal="center" vertical="top" wrapText="1"/>
    </xf>
    <xf numFmtId="0" fontId="34" fillId="0" borderId="17" xfId="0" applyFont="1" applyBorder="1" applyAlignment="1" quotePrefix="1">
      <alignment horizontal="center" vertical="top" wrapText="1"/>
    </xf>
    <xf numFmtId="0" fontId="34" fillId="0" borderId="18" xfId="0" applyFont="1" applyBorder="1" applyAlignment="1" quotePrefix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73" fontId="27" fillId="0" borderId="16" xfId="0" applyNumberFormat="1" applyFont="1" applyBorder="1" applyAlignment="1">
      <alignment vertical="top" wrapText="1"/>
    </xf>
    <xf numFmtId="168" fontId="27" fillId="0" borderId="16" xfId="0" applyNumberFormat="1" applyFont="1" applyBorder="1" applyAlignment="1">
      <alignment vertical="top" wrapText="1"/>
    </xf>
    <xf numFmtId="173" fontId="27" fillId="0" borderId="17" xfId="0" applyNumberFormat="1" applyFont="1" applyBorder="1" applyAlignment="1">
      <alignment vertical="top" wrapText="1"/>
    </xf>
    <xf numFmtId="173" fontId="27" fillId="0" borderId="18" xfId="0" applyNumberFormat="1" applyFont="1" applyBorder="1" applyAlignment="1">
      <alignment vertical="top" wrapText="1"/>
    </xf>
    <xf numFmtId="168" fontId="27" fillId="0" borderId="18" xfId="0" applyNumberFormat="1" applyFont="1" applyBorder="1" applyAlignment="1">
      <alignment vertical="top" wrapText="1"/>
    </xf>
    <xf numFmtId="0" fontId="31" fillId="0" borderId="13" xfId="0" applyFont="1" applyBorder="1" applyAlignment="1">
      <alignment horizontal="right" vertical="top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 quotePrefix="1">
      <alignment vertical="top"/>
    </xf>
    <xf numFmtId="0" fontId="27" fillId="0" borderId="25" xfId="0" applyFont="1" applyBorder="1" applyAlignment="1">
      <alignment vertical="top"/>
    </xf>
    <xf numFmtId="0" fontId="27" fillId="0" borderId="26" xfId="0" applyFont="1" applyBorder="1" applyAlignment="1">
      <alignment horizontal="center" vertical="top" wrapText="1"/>
    </xf>
    <xf numFmtId="168" fontId="27" fillId="0" borderId="27" xfId="0" applyNumberFormat="1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168" fontId="27" fillId="0" borderId="29" xfId="0" applyNumberFormat="1" applyFont="1" applyBorder="1" applyAlignment="1">
      <alignment vertical="top" wrapText="1"/>
    </xf>
    <xf numFmtId="0" fontId="27" fillId="0" borderId="30" xfId="0" applyFont="1" applyBorder="1" applyAlignment="1">
      <alignment horizontal="center" vertical="top" wrapText="1"/>
    </xf>
    <xf numFmtId="168" fontId="27" fillId="0" borderId="31" xfId="0" applyNumberFormat="1" applyFont="1" applyBorder="1" applyAlignment="1">
      <alignment vertical="top" wrapText="1"/>
    </xf>
    <xf numFmtId="0" fontId="27" fillId="0" borderId="24" xfId="0" applyFont="1" applyBorder="1" applyAlignment="1">
      <alignment vertical="top"/>
    </xf>
    <xf numFmtId="168" fontId="27" fillId="0" borderId="23" xfId="0" applyNumberFormat="1" applyFont="1" applyBorder="1" applyAlignment="1">
      <alignment vertical="top"/>
    </xf>
    <xf numFmtId="0" fontId="27" fillId="0" borderId="32" xfId="0" applyFont="1" applyBorder="1" applyAlignment="1">
      <alignment vertical="top"/>
    </xf>
    <xf numFmtId="0" fontId="27" fillId="0" borderId="33" xfId="0" applyFont="1" applyBorder="1" applyAlignment="1">
      <alignment vertical="top"/>
    </xf>
    <xf numFmtId="0" fontId="31" fillId="0" borderId="34" xfId="0" applyFont="1" applyBorder="1" applyAlignment="1">
      <alignment horizontal="right" vertical="top"/>
    </xf>
    <xf numFmtId="168" fontId="31" fillId="0" borderId="35" xfId="0" applyNumberFormat="1" applyFont="1" applyBorder="1" applyAlignment="1">
      <alignment vertical="top"/>
    </xf>
    <xf numFmtId="174" fontId="27" fillId="0" borderId="16" xfId="0" applyNumberFormat="1" applyFont="1" applyBorder="1" applyAlignment="1">
      <alignment vertical="top" wrapText="1"/>
    </xf>
    <xf numFmtId="174" fontId="27" fillId="0" borderId="17" xfId="0" applyNumberFormat="1" applyFont="1" applyBorder="1" applyAlignment="1">
      <alignment vertical="top" wrapText="1"/>
    </xf>
    <xf numFmtId="174" fontId="27" fillId="0" borderId="18" xfId="0" applyNumberFormat="1" applyFont="1" applyBorder="1" applyAlignment="1">
      <alignment vertical="top" wrapText="1"/>
    </xf>
    <xf numFmtId="174" fontId="31" fillId="0" borderId="10" xfId="0" applyNumberFormat="1" applyFont="1" applyBorder="1" applyAlignment="1">
      <alignment vertical="top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74" fontId="27" fillId="0" borderId="27" xfId="0" applyNumberFormat="1" applyFont="1" applyBorder="1" applyAlignment="1">
      <alignment vertical="top" wrapText="1"/>
    </xf>
    <xf numFmtId="174" fontId="27" fillId="0" borderId="29" xfId="0" applyNumberFormat="1" applyFont="1" applyBorder="1" applyAlignment="1">
      <alignment vertical="top" wrapText="1"/>
    </xf>
    <xf numFmtId="174" fontId="27" fillId="0" borderId="31" xfId="0" applyNumberFormat="1" applyFont="1" applyBorder="1" applyAlignment="1">
      <alignment vertical="top" wrapText="1"/>
    </xf>
    <xf numFmtId="174" fontId="31" fillId="0" borderId="23" xfId="0" applyNumberFormat="1" applyFont="1" applyBorder="1" applyAlignment="1">
      <alignment vertical="top"/>
    </xf>
    <xf numFmtId="174" fontId="31" fillId="0" borderId="36" xfId="0" applyNumberFormat="1" applyFont="1" applyBorder="1" applyAlignment="1">
      <alignment vertical="top"/>
    </xf>
    <xf numFmtId="174" fontId="31" fillId="0" borderId="35" xfId="0" applyNumberFormat="1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17"/>
  <sheetViews>
    <sheetView workbookViewId="0" topLeftCell="A1">
      <selection activeCell="C17" sqref="C17"/>
    </sheetView>
  </sheetViews>
  <sheetFormatPr defaultColWidth="9.140625" defaultRowHeight="12.75"/>
  <cols>
    <col min="3" max="3" width="20.8515625" style="0" bestFit="1" customWidth="1"/>
    <col min="4" max="4" width="13.00390625" style="0" bestFit="1" customWidth="1"/>
    <col min="5" max="5" width="12.00390625" style="0" bestFit="1" customWidth="1"/>
  </cols>
  <sheetData>
    <row r="1" spans="1:5" ht="12.75">
      <c r="A1" s="12" t="s">
        <v>32</v>
      </c>
      <c r="B1" s="12" t="s">
        <v>33</v>
      </c>
      <c r="C1" s="12" t="s">
        <v>34</v>
      </c>
      <c r="D1" s="12" t="s">
        <v>35</v>
      </c>
      <c r="E1" s="13" t="s">
        <v>36</v>
      </c>
    </row>
    <row r="2" spans="1:5" ht="12.75">
      <c r="A2" s="12" t="s">
        <v>37</v>
      </c>
      <c r="B2" s="12" t="s">
        <v>38</v>
      </c>
      <c r="C2" s="12" t="s">
        <v>39</v>
      </c>
      <c r="D2" s="12" t="s">
        <v>40</v>
      </c>
      <c r="E2" s="13" t="s">
        <v>41</v>
      </c>
    </row>
    <row r="3" spans="1:5" ht="13.5">
      <c r="A3" s="12" t="s">
        <v>42</v>
      </c>
      <c r="B3" s="12" t="s">
        <v>43</v>
      </c>
      <c r="C3" s="12" t="s">
        <v>44</v>
      </c>
      <c r="D3" s="14" t="s">
        <v>68</v>
      </c>
      <c r="E3" s="13" t="s">
        <v>45</v>
      </c>
    </row>
    <row r="4" spans="1:5" ht="12.75">
      <c r="A4" s="12" t="s">
        <v>46</v>
      </c>
      <c r="B4" s="12" t="s">
        <v>33</v>
      </c>
      <c r="C4" s="12" t="s">
        <v>47</v>
      </c>
      <c r="D4" s="12" t="s">
        <v>48</v>
      </c>
      <c r="E4" s="13" t="s">
        <v>49</v>
      </c>
    </row>
    <row r="5" spans="1:4" ht="12.75">
      <c r="A5" s="12" t="s">
        <v>50</v>
      </c>
      <c r="B5" s="12" t="s">
        <v>38</v>
      </c>
      <c r="C5" s="12" t="s">
        <v>51</v>
      </c>
      <c r="D5" s="12" t="s">
        <v>52</v>
      </c>
    </row>
    <row r="6" spans="1:4" ht="12.75">
      <c r="A6" s="12" t="s">
        <v>53</v>
      </c>
      <c r="B6" s="12" t="s">
        <v>54</v>
      </c>
      <c r="C6" s="12" t="s">
        <v>55</v>
      </c>
      <c r="D6" s="12" t="s">
        <v>56</v>
      </c>
    </row>
    <row r="7" spans="1:4" ht="12.75">
      <c r="A7" s="12" t="s">
        <v>57</v>
      </c>
      <c r="B7" s="12" t="s">
        <v>33</v>
      </c>
      <c r="C7" s="12" t="s">
        <v>58</v>
      </c>
      <c r="D7" s="12" t="s">
        <v>35</v>
      </c>
    </row>
    <row r="8" spans="1:4" ht="12.75">
      <c r="A8" s="12" t="s">
        <v>59</v>
      </c>
      <c r="B8" s="12" t="s">
        <v>38</v>
      </c>
      <c r="C8" s="12" t="s">
        <v>60</v>
      </c>
      <c r="D8" s="12" t="s">
        <v>33</v>
      </c>
    </row>
    <row r="9" spans="1:3" ht="12.75">
      <c r="A9" s="12" t="s">
        <v>61</v>
      </c>
      <c r="B9" s="12" t="s">
        <v>62</v>
      </c>
      <c r="C9" s="12" t="s">
        <v>63</v>
      </c>
    </row>
    <row r="10" spans="1:3" ht="12.75">
      <c r="A10" s="12" t="s">
        <v>64</v>
      </c>
      <c r="B10" s="12" t="s">
        <v>33</v>
      </c>
      <c r="C10" s="12" t="s">
        <v>65</v>
      </c>
    </row>
    <row r="11" spans="2:3" ht="12.75">
      <c r="B11" s="12" t="s">
        <v>38</v>
      </c>
      <c r="C11" s="12" t="s">
        <v>66</v>
      </c>
    </row>
    <row r="12" spans="2:3" ht="12.75">
      <c r="B12" s="12" t="s">
        <v>43</v>
      </c>
      <c r="C12" s="12" t="s">
        <v>67</v>
      </c>
    </row>
    <row r="13" spans="2:3" ht="12.75">
      <c r="B13" s="12" t="s">
        <v>33</v>
      </c>
      <c r="C13" t="s">
        <v>68</v>
      </c>
    </row>
    <row r="14" spans="2:3" ht="12.75">
      <c r="B14" s="12" t="s">
        <v>38</v>
      </c>
      <c r="C14" t="s">
        <v>68</v>
      </c>
    </row>
    <row r="15" spans="2:3" ht="12.75">
      <c r="B15" s="12" t="s">
        <v>33</v>
      </c>
      <c r="C15" t="s">
        <v>68</v>
      </c>
    </row>
    <row r="16" spans="2:3" ht="13.5">
      <c r="B16" s="14"/>
      <c r="C16" t="s">
        <v>68</v>
      </c>
    </row>
    <row r="17" spans="2:3" ht="12.75">
      <c r="B17" s="12" t="s">
        <v>38</v>
      </c>
      <c r="C17" t="s">
        <v>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L119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10.7109375" style="22" customWidth="1"/>
    <col min="3" max="3" width="30.7109375" style="22" customWidth="1"/>
    <col min="4" max="4" width="7.7109375" style="22" customWidth="1"/>
    <col min="5" max="5" width="10.7109375" style="22" customWidth="1"/>
    <col min="6" max="7" width="13.7109375" style="22" customWidth="1"/>
    <col min="8" max="8" width="14.00390625" style="46" bestFit="1" customWidth="1"/>
    <col min="9" max="10" width="0" style="22" hidden="1" customWidth="1"/>
    <col min="11" max="11" width="12.421875" style="22" hidden="1" customWidth="1"/>
    <col min="12" max="12" width="0" style="22" hidden="1" customWidth="1"/>
    <col min="13" max="16384" width="9.140625" style="22" customWidth="1"/>
  </cols>
  <sheetData>
    <row r="1" spans="1:8" ht="22.5">
      <c r="A1" s="23" t="str">
        <f>Info!B9</f>
        <v>BẢNG PHÂN TÍCH ĐƠN GIÁ XÂY DỰNG</v>
      </c>
      <c r="B1" s="23"/>
      <c r="C1" s="23"/>
      <c r="D1" s="23"/>
      <c r="E1" s="23"/>
      <c r="F1" s="23"/>
      <c r="G1" s="23"/>
      <c r="H1" s="23"/>
    </row>
    <row r="2" spans="1:8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</row>
    <row r="3" spans="1:8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</row>
    <row r="4" spans="1:7" ht="15.75">
      <c r="A4" s="46"/>
      <c r="B4" s="46"/>
      <c r="C4" s="46"/>
      <c r="D4" s="46"/>
      <c r="E4" s="46"/>
      <c r="F4" s="46"/>
      <c r="G4" s="46"/>
    </row>
    <row r="5" spans="1:8" ht="15.75">
      <c r="A5" s="36" t="s">
        <v>105</v>
      </c>
      <c r="B5" s="36" t="s">
        <v>106</v>
      </c>
      <c r="C5" s="36" t="s">
        <v>107</v>
      </c>
      <c r="D5" s="36" t="s">
        <v>114</v>
      </c>
      <c r="E5" s="36" t="s">
        <v>209</v>
      </c>
      <c r="F5" s="36" t="s">
        <v>210</v>
      </c>
      <c r="G5" s="36" t="s">
        <v>146</v>
      </c>
      <c r="H5" s="36" t="s">
        <v>211</v>
      </c>
    </row>
    <row r="6" spans="1:8" ht="15.75">
      <c r="A6" s="37" t="s">
        <v>118</v>
      </c>
      <c r="B6" s="37" t="s">
        <v>119</v>
      </c>
      <c r="C6" s="37" t="s">
        <v>120</v>
      </c>
      <c r="D6" s="37" t="s">
        <v>121</v>
      </c>
      <c r="E6" s="37" t="s">
        <v>122</v>
      </c>
      <c r="F6" s="37" t="s">
        <v>123</v>
      </c>
      <c r="G6" s="37" t="s">
        <v>124</v>
      </c>
      <c r="H6" s="37" t="s">
        <v>125</v>
      </c>
    </row>
    <row r="7" spans="1:8" ht="15.75">
      <c r="A7" s="38" t="s">
        <v>129</v>
      </c>
      <c r="B7" s="27"/>
      <c r="C7" s="27"/>
      <c r="D7" s="27"/>
      <c r="E7" s="27"/>
      <c r="F7" s="27"/>
      <c r="G7" s="27"/>
      <c r="H7" s="75"/>
    </row>
    <row r="8" spans="1:12" ht="31.5">
      <c r="A8" s="39">
        <v>1</v>
      </c>
      <c r="B8" s="41" t="s">
        <v>130</v>
      </c>
      <c r="C8" s="29" t="str">
        <f>KL!C9</f>
        <v>Đào móng băng rộng &lt;=3m sâu &lt;=1 m đất cấp III</v>
      </c>
      <c r="D8" s="40" t="s">
        <v>132</v>
      </c>
      <c r="E8" s="29"/>
      <c r="F8" s="29"/>
      <c r="G8" s="29"/>
      <c r="H8" s="39"/>
      <c r="J8" s="93">
        <f>KL!L9</f>
        <v>50</v>
      </c>
      <c r="L8" s="22">
        <v>1</v>
      </c>
    </row>
    <row r="9" spans="1:8" ht="15.75">
      <c r="A9" s="52"/>
      <c r="B9" s="52"/>
      <c r="C9" s="95" t="s">
        <v>212</v>
      </c>
      <c r="D9" s="52"/>
      <c r="E9" s="52"/>
      <c r="F9" s="52"/>
      <c r="G9" s="96">
        <f>ROUND(SUM(G10:G10),0)</f>
        <v>45163</v>
      </c>
      <c r="H9" s="107" t="s">
        <v>213</v>
      </c>
    </row>
    <row r="10" spans="1:11" ht="15.75">
      <c r="A10" s="59"/>
      <c r="B10" s="59"/>
      <c r="C10" s="106" t="s">
        <v>164</v>
      </c>
      <c r="D10" s="57" t="s">
        <v>165</v>
      </c>
      <c r="E10" s="59">
        <v>1.24</v>
      </c>
      <c r="F10" s="97">
        <f>SUMPRODUCT((NC!B7:NC!B8=$C$10)*(NC!E7:NC!E8=$I$10)*(NC!D7:NC!D8))</f>
        <v>36422</v>
      </c>
      <c r="G10" s="97">
        <f>ROUND(E10*F10,0)</f>
        <v>45163</v>
      </c>
      <c r="H10" s="55"/>
      <c r="I10" s="22" t="s">
        <v>166</v>
      </c>
      <c r="K10" s="94">
        <f>ROUND($J$8*E10,4)</f>
        <v>62</v>
      </c>
    </row>
    <row r="11" spans="1:8" ht="15.75" hidden="1">
      <c r="A11" s="59"/>
      <c r="B11" s="59"/>
      <c r="C11" s="56" t="s">
        <v>214</v>
      </c>
      <c r="D11" s="59"/>
      <c r="E11" s="98" t="str">
        <f>"A1"</f>
        <v>A1</v>
      </c>
      <c r="F11" s="98"/>
      <c r="G11" s="97">
        <f>ROUND((0),0)</f>
        <v>0</v>
      </c>
      <c r="H11" s="108" t="s">
        <v>215</v>
      </c>
    </row>
    <row r="12" spans="1:8" ht="15.75">
      <c r="A12" s="59"/>
      <c r="B12" s="59"/>
      <c r="C12" s="56" t="s">
        <v>201</v>
      </c>
      <c r="D12" s="59"/>
      <c r="E12" s="98" t="str">
        <f>"B1*"&amp;TEXT(Info!C61,Info!D61)&amp;""</f>
        <v>B1*5.714</v>
      </c>
      <c r="F12" s="98"/>
      <c r="G12" s="97">
        <f>ROUND(G9*Info!C61,0)</f>
        <v>258061</v>
      </c>
      <c r="H12" s="108" t="s">
        <v>216</v>
      </c>
    </row>
    <row r="13" spans="1:8" ht="15.75" hidden="1">
      <c r="A13" s="59"/>
      <c r="B13" s="59"/>
      <c r="C13" s="56" t="s">
        <v>202</v>
      </c>
      <c r="D13" s="59"/>
      <c r="E13" s="98" t="str">
        <f>"C1*"&amp;TEXT(Info!C62,Info!D62)&amp;""</f>
        <v>C1*1.82</v>
      </c>
      <c r="F13" s="98"/>
      <c r="G13" s="97">
        <f>ROUND(0*Info!C62,0)</f>
        <v>0</v>
      </c>
      <c r="H13" s="108" t="s">
        <v>217</v>
      </c>
    </row>
    <row r="14" spans="1:8" ht="15.75" hidden="1">
      <c r="A14" s="59"/>
      <c r="B14" s="59"/>
      <c r="C14" s="56" t="s">
        <v>203</v>
      </c>
      <c r="D14" s="59"/>
      <c r="E14" s="98" t="str">
        <f>"VL*"&amp;TEXT(Info!C63,Info!D63)&amp;""</f>
        <v>VL*2%</v>
      </c>
      <c r="F14" s="98"/>
      <c r="G14" s="97">
        <f>ROUND(G11*Info!C63,0)</f>
        <v>0</v>
      </c>
      <c r="H14" s="108" t="s">
        <v>218</v>
      </c>
    </row>
    <row r="15" spans="1:8" ht="15.75" hidden="1">
      <c r="A15" s="59"/>
      <c r="B15" s="59"/>
      <c r="C15" s="56" t="s">
        <v>219</v>
      </c>
      <c r="D15" s="59"/>
      <c r="E15" s="98" t="str">
        <f>"VL+TTVL"</f>
        <v>VL+TTVL</v>
      </c>
      <c r="F15" s="98"/>
      <c r="G15" s="97">
        <f>ROUND(G11+G14,0)</f>
        <v>0</v>
      </c>
      <c r="H15" s="108" t="s">
        <v>220</v>
      </c>
    </row>
    <row r="16" spans="1:8" ht="15.75" hidden="1">
      <c r="A16" s="59"/>
      <c r="B16" s="59"/>
      <c r="C16" s="56" t="s">
        <v>204</v>
      </c>
      <c r="D16" s="59"/>
      <c r="E16" s="98" t="str">
        <f>"TVL*"&amp;TEXT(Info!C64,Info!D64)&amp;""</f>
        <v>TVL*6.5%</v>
      </c>
      <c r="F16" s="98"/>
      <c r="G16" s="97">
        <f>ROUND(G15*Info!C64,0)</f>
        <v>0</v>
      </c>
      <c r="H16" s="108" t="s">
        <v>221</v>
      </c>
    </row>
    <row r="17" spans="1:8" ht="15.75" hidden="1">
      <c r="A17" s="59"/>
      <c r="B17" s="59"/>
      <c r="C17" s="56" t="s">
        <v>205</v>
      </c>
      <c r="D17" s="59"/>
      <c r="E17" s="98" t="str">
        <f>"(TVL+CVL)*"&amp;TEXT(Info!C65,Info!D65)&amp;""</f>
        <v>(TVL+CVL)*5.5%</v>
      </c>
      <c r="F17" s="98"/>
      <c r="G17" s="97">
        <f>ROUND((G15+G16)*Info!C65,0)</f>
        <v>0</v>
      </c>
      <c r="H17" s="108" t="s">
        <v>222</v>
      </c>
    </row>
    <row r="18" spans="1:8" ht="15.75" hidden="1">
      <c r="A18" s="59"/>
      <c r="B18" s="59"/>
      <c r="C18" s="56" t="s">
        <v>223</v>
      </c>
      <c r="D18" s="59"/>
      <c r="E18" s="98" t="str">
        <f>"TVL+CVL+TLVL"</f>
        <v>TVL+CVL+TLVL</v>
      </c>
      <c r="F18" s="98"/>
      <c r="G18" s="97">
        <f>ROUND(G15+G16+G17,0)</f>
        <v>0</v>
      </c>
      <c r="H18" s="108" t="s">
        <v>224</v>
      </c>
    </row>
    <row r="19" spans="1:8" ht="15.75" hidden="1">
      <c r="A19" s="59"/>
      <c r="B19" s="59"/>
      <c r="C19" s="56" t="s">
        <v>206</v>
      </c>
      <c r="D19" s="59"/>
      <c r="E19" s="98" t="str">
        <f>"GVL*"&amp;TEXT(Info!C66,Info!D66)&amp;""</f>
        <v>GVL*10%</v>
      </c>
      <c r="F19" s="98"/>
      <c r="G19" s="97">
        <f>ROUND(G18*Info!C66,0)</f>
        <v>0</v>
      </c>
      <c r="H19" s="108" t="s">
        <v>225</v>
      </c>
    </row>
    <row r="20" spans="1:8" ht="15.75" hidden="1">
      <c r="A20" s="59"/>
      <c r="B20" s="59"/>
      <c r="C20" s="56" t="s">
        <v>226</v>
      </c>
      <c r="D20" s="59"/>
      <c r="E20" s="98" t="str">
        <f>"GVL+GTGTVL"</f>
        <v>GVL+GTGTVL</v>
      </c>
      <c r="F20" s="98"/>
      <c r="G20" s="97">
        <f>ROUND(G18+G19,0)</f>
        <v>0</v>
      </c>
      <c r="H20" s="108" t="s">
        <v>227</v>
      </c>
    </row>
    <row r="21" spans="1:8" ht="15.75" hidden="1">
      <c r="A21" s="59"/>
      <c r="B21" s="59"/>
      <c r="C21" s="56" t="s">
        <v>207</v>
      </c>
      <c r="D21" s="59"/>
      <c r="E21" s="98" t="str">
        <f>"GVL*"&amp;TEXT(Info!C67,Info!D67)&amp;"*"&amp;TEXT(Info!E67,Info!F67)&amp;""</f>
        <v>GVL*1%*1.1</v>
      </c>
      <c r="F21" s="98"/>
      <c r="G21" s="97">
        <f>ROUND(G18*Info!C67*Info!E67,0)</f>
        <v>0</v>
      </c>
      <c r="H21" s="108" t="s">
        <v>228</v>
      </c>
    </row>
    <row r="22" spans="1:8" s="44" customFormat="1" ht="15.75" hidden="1">
      <c r="A22" s="99"/>
      <c r="B22" s="99"/>
      <c r="C22" s="100" t="s">
        <v>229</v>
      </c>
      <c r="D22" s="99"/>
      <c r="E22" s="101" t="str">
        <f>"GXDVL+GXDNTVL"</f>
        <v>GXDVL+GXDNTVL</v>
      </c>
      <c r="F22" s="101"/>
      <c r="G22" s="102">
        <f>ROUND(G20+G21,0)</f>
        <v>0</v>
      </c>
      <c r="H22" s="109" t="s">
        <v>230</v>
      </c>
    </row>
    <row r="23" spans="1:8" ht="15.75">
      <c r="A23" s="59"/>
      <c r="B23" s="59"/>
      <c r="C23" s="56" t="s">
        <v>203</v>
      </c>
      <c r="D23" s="59"/>
      <c r="E23" s="98" t="str">
        <f>"NC*"&amp;TEXT(Info!C68,Info!D68)&amp;""</f>
        <v>NC*2%</v>
      </c>
      <c r="F23" s="98"/>
      <c r="G23" s="97">
        <f>ROUND(G12*Info!C68,0)</f>
        <v>5161</v>
      </c>
      <c r="H23" s="108" t="s">
        <v>231</v>
      </c>
    </row>
    <row r="24" spans="1:8" ht="15.75">
      <c r="A24" s="59"/>
      <c r="B24" s="59"/>
      <c r="C24" s="56" t="s">
        <v>219</v>
      </c>
      <c r="D24" s="59"/>
      <c r="E24" s="98" t="str">
        <f>"NC+TTNC"</f>
        <v>NC+TTNC</v>
      </c>
      <c r="F24" s="98"/>
      <c r="G24" s="97">
        <f>ROUND(G12+G23,0)</f>
        <v>263222</v>
      </c>
      <c r="H24" s="108" t="s">
        <v>232</v>
      </c>
    </row>
    <row r="25" spans="1:8" ht="15.75">
      <c r="A25" s="59"/>
      <c r="B25" s="59"/>
      <c r="C25" s="56" t="s">
        <v>204</v>
      </c>
      <c r="D25" s="59"/>
      <c r="E25" s="98" t="str">
        <f>"TNC*"&amp;TEXT(Info!C69,Info!D69)&amp;""</f>
        <v>TNC*6.5%</v>
      </c>
      <c r="F25" s="98"/>
      <c r="G25" s="97">
        <f>ROUND(G24*Info!C69,0)</f>
        <v>17109</v>
      </c>
      <c r="H25" s="108" t="s">
        <v>233</v>
      </c>
    </row>
    <row r="26" spans="1:8" ht="15.75">
      <c r="A26" s="59"/>
      <c r="B26" s="59"/>
      <c r="C26" s="56" t="s">
        <v>205</v>
      </c>
      <c r="D26" s="59"/>
      <c r="E26" s="98" t="str">
        <f>"(TNC+CNC)*"&amp;TEXT(Info!C70,Info!D70)&amp;""</f>
        <v>(TNC+CNC)*5.5%</v>
      </c>
      <c r="F26" s="98"/>
      <c r="G26" s="97">
        <f>ROUND((G24+G25)*Info!C70,0)</f>
        <v>15418</v>
      </c>
      <c r="H26" s="108" t="s">
        <v>234</v>
      </c>
    </row>
    <row r="27" spans="1:8" ht="15.75">
      <c r="A27" s="59"/>
      <c r="B27" s="59"/>
      <c r="C27" s="56" t="s">
        <v>223</v>
      </c>
      <c r="D27" s="59"/>
      <c r="E27" s="98" t="str">
        <f>"TNC+CNC+TLNC"</f>
        <v>TNC+CNC+TLNC</v>
      </c>
      <c r="F27" s="98"/>
      <c r="G27" s="97">
        <f>ROUND(G24+G25+G26,0)</f>
        <v>295749</v>
      </c>
      <c r="H27" s="108" t="s">
        <v>235</v>
      </c>
    </row>
    <row r="28" spans="1:8" ht="15.75">
      <c r="A28" s="59"/>
      <c r="B28" s="59"/>
      <c r="C28" s="56" t="s">
        <v>206</v>
      </c>
      <c r="D28" s="59"/>
      <c r="E28" s="98" t="str">
        <f>"GNC*"&amp;TEXT(Info!C71,Info!D71)&amp;""</f>
        <v>GNC*10%</v>
      </c>
      <c r="F28" s="98"/>
      <c r="G28" s="97">
        <f>ROUND(G27*Info!C71,0)</f>
        <v>29575</v>
      </c>
      <c r="H28" s="108" t="s">
        <v>236</v>
      </c>
    </row>
    <row r="29" spans="1:8" ht="15.75">
      <c r="A29" s="59"/>
      <c r="B29" s="59"/>
      <c r="C29" s="56" t="s">
        <v>226</v>
      </c>
      <c r="D29" s="59"/>
      <c r="E29" s="98" t="str">
        <f>"GNC+GTGTNC"</f>
        <v>GNC+GTGTNC</v>
      </c>
      <c r="F29" s="98"/>
      <c r="G29" s="97">
        <f>ROUND(G27+G28,0)</f>
        <v>325324</v>
      </c>
      <c r="H29" s="108" t="s">
        <v>237</v>
      </c>
    </row>
    <row r="30" spans="1:8" ht="15.75">
      <c r="A30" s="59"/>
      <c r="B30" s="59"/>
      <c r="C30" s="56" t="s">
        <v>207</v>
      </c>
      <c r="D30" s="59"/>
      <c r="E30" s="98" t="str">
        <f>"GNC*"&amp;TEXT(Info!C72,Info!D72)&amp;"*"&amp;TEXT(Info!E72,Info!F72)&amp;""</f>
        <v>GNC*1%*1.1</v>
      </c>
      <c r="F30" s="98"/>
      <c r="G30" s="97">
        <f>ROUND(G27*Info!C72*Info!E72,0)</f>
        <v>3253</v>
      </c>
      <c r="H30" s="108" t="s">
        <v>238</v>
      </c>
    </row>
    <row r="31" spans="1:8" s="44" customFormat="1" ht="15.75">
      <c r="A31" s="99"/>
      <c r="B31" s="99"/>
      <c r="C31" s="100" t="s">
        <v>239</v>
      </c>
      <c r="D31" s="99"/>
      <c r="E31" s="101" t="str">
        <f>"GXDNC+GXDNTNC"</f>
        <v>GXDNC+GXDNTNC</v>
      </c>
      <c r="F31" s="101"/>
      <c r="G31" s="102">
        <f>ROUND(G29+G30,0)</f>
        <v>328577</v>
      </c>
      <c r="H31" s="109" t="s">
        <v>240</v>
      </c>
    </row>
    <row r="32" spans="1:8" ht="15.75" hidden="1">
      <c r="A32" s="59"/>
      <c r="B32" s="59"/>
      <c r="C32" s="56" t="s">
        <v>203</v>
      </c>
      <c r="D32" s="59"/>
      <c r="E32" s="98" t="str">
        <f>"M*"&amp;TEXT(Info!C73,Info!D73)&amp;""</f>
        <v>M*2%</v>
      </c>
      <c r="F32" s="98"/>
      <c r="G32" s="97">
        <f>ROUND(G13*Info!C73,0)</f>
        <v>0</v>
      </c>
      <c r="H32" s="108" t="s">
        <v>241</v>
      </c>
    </row>
    <row r="33" spans="1:8" ht="15.75" hidden="1">
      <c r="A33" s="59"/>
      <c r="B33" s="59"/>
      <c r="C33" s="56" t="s">
        <v>219</v>
      </c>
      <c r="D33" s="59"/>
      <c r="E33" s="98" t="str">
        <f>"M+TTM"</f>
        <v>M+TTM</v>
      </c>
      <c r="F33" s="98"/>
      <c r="G33" s="97">
        <f>ROUND(G13+G32,0)</f>
        <v>0</v>
      </c>
      <c r="H33" s="108" t="s">
        <v>242</v>
      </c>
    </row>
    <row r="34" spans="1:8" ht="15.75" hidden="1">
      <c r="A34" s="59"/>
      <c r="B34" s="59"/>
      <c r="C34" s="56" t="s">
        <v>204</v>
      </c>
      <c r="D34" s="59"/>
      <c r="E34" s="98" t="str">
        <f>"TM*"&amp;TEXT(Info!C74,Info!D74)&amp;""</f>
        <v>TM*6.5%</v>
      </c>
      <c r="F34" s="98"/>
      <c r="G34" s="97">
        <f>ROUND(G33*Info!C74,0)</f>
        <v>0</v>
      </c>
      <c r="H34" s="108" t="s">
        <v>243</v>
      </c>
    </row>
    <row r="35" spans="1:8" ht="15.75" hidden="1">
      <c r="A35" s="59"/>
      <c r="B35" s="59"/>
      <c r="C35" s="56" t="s">
        <v>205</v>
      </c>
      <c r="D35" s="59"/>
      <c r="E35" s="98" t="str">
        <f>"(TM+CM)*"&amp;TEXT(Info!C75,Info!D75)&amp;""</f>
        <v>(TM+CM)*5.5%</v>
      </c>
      <c r="F35" s="98"/>
      <c r="G35" s="97">
        <f>ROUND((G33+G34)*Info!C75,0)</f>
        <v>0</v>
      </c>
      <c r="H35" s="108" t="s">
        <v>244</v>
      </c>
    </row>
    <row r="36" spans="1:8" ht="15.75" hidden="1">
      <c r="A36" s="59"/>
      <c r="B36" s="59"/>
      <c r="C36" s="56" t="s">
        <v>223</v>
      </c>
      <c r="D36" s="59"/>
      <c r="E36" s="98" t="str">
        <f>"TM+CM+TLM"</f>
        <v>TM+CM+TLM</v>
      </c>
      <c r="F36" s="98"/>
      <c r="G36" s="97">
        <f>ROUND(G33+G34+G35,0)</f>
        <v>0</v>
      </c>
      <c r="H36" s="108" t="s">
        <v>245</v>
      </c>
    </row>
    <row r="37" spans="1:8" ht="15.75" hidden="1">
      <c r="A37" s="59"/>
      <c r="B37" s="59"/>
      <c r="C37" s="56" t="s">
        <v>206</v>
      </c>
      <c r="D37" s="59"/>
      <c r="E37" s="98" t="str">
        <f>"GM*"&amp;TEXT(Info!C76,Info!D76)&amp;""</f>
        <v>GM*10%</v>
      </c>
      <c r="F37" s="98"/>
      <c r="G37" s="97">
        <f>ROUND(G36*Info!C76,0)</f>
        <v>0</v>
      </c>
      <c r="H37" s="108" t="s">
        <v>246</v>
      </c>
    </row>
    <row r="38" spans="1:8" ht="15.75" hidden="1">
      <c r="A38" s="59"/>
      <c r="B38" s="59"/>
      <c r="C38" s="56" t="s">
        <v>226</v>
      </c>
      <c r="D38" s="59"/>
      <c r="E38" s="98" t="str">
        <f>"GM+GTGTM"</f>
        <v>GM+GTGTM</v>
      </c>
      <c r="F38" s="98"/>
      <c r="G38" s="97">
        <f>ROUND(G36+G37,0)</f>
        <v>0</v>
      </c>
      <c r="H38" s="108" t="s">
        <v>247</v>
      </c>
    </row>
    <row r="39" spans="1:8" ht="15.75" hidden="1">
      <c r="A39" s="59"/>
      <c r="B39" s="59"/>
      <c r="C39" s="56" t="s">
        <v>207</v>
      </c>
      <c r="D39" s="59"/>
      <c r="E39" s="98" t="str">
        <f>"GM*"&amp;TEXT(Info!C77,Info!D77)&amp;"*"&amp;TEXT(Info!E77,Info!F77)&amp;""</f>
        <v>GM*1%*1.1</v>
      </c>
      <c r="F39" s="98"/>
      <c r="G39" s="97">
        <f>ROUND(G36*Info!C77*Info!E77,0)</f>
        <v>0</v>
      </c>
      <c r="H39" s="108" t="s">
        <v>248</v>
      </c>
    </row>
    <row r="40" spans="1:8" s="44" customFormat="1" ht="15.75" hidden="1">
      <c r="A40" s="99"/>
      <c r="B40" s="99"/>
      <c r="C40" s="100" t="s">
        <v>249</v>
      </c>
      <c r="D40" s="99"/>
      <c r="E40" s="101" t="str">
        <f>"GXDM+GXDNTM"</f>
        <v>GXDM+GXDNTM</v>
      </c>
      <c r="F40" s="101"/>
      <c r="G40" s="102">
        <f>ROUND(G38+G39,0)</f>
        <v>0</v>
      </c>
      <c r="H40" s="109" t="s">
        <v>250</v>
      </c>
    </row>
    <row r="41" spans="1:8" s="44" customFormat="1" ht="15.75">
      <c r="A41" s="103"/>
      <c r="B41" s="103"/>
      <c r="C41" s="103" t="str">
        <f>"TỔNG CỘNG"&amp;IF(Info!C78&gt;0," ("&amp;Info!A78&amp;" "&amp;TEXT(Info!C78,Info!D78)&amp;")","")</f>
        <v>TỔNG CỘNG</v>
      </c>
      <c r="D41" s="103"/>
      <c r="E41" s="104" t="str">
        <f>"VATLIEU+NHANCONG+MAY"</f>
        <v>VATLIEU+NHANCONG+MAY</v>
      </c>
      <c r="F41" s="104"/>
      <c r="G41" s="105">
        <f>ROUND((G22+G31+G40)*(100%-Info!C78),0)</f>
        <v>328577</v>
      </c>
      <c r="H41" s="110" t="s">
        <v>251</v>
      </c>
    </row>
    <row r="42" spans="1:8" ht="15.75">
      <c r="A42" s="26"/>
      <c r="B42" s="27"/>
      <c r="C42" s="27"/>
      <c r="D42" s="27"/>
      <c r="E42" s="27"/>
      <c r="F42" s="27"/>
      <c r="G42" s="27"/>
      <c r="H42" s="75"/>
    </row>
    <row r="43" spans="1:12" ht="47.25">
      <c r="A43" s="39">
        <v>2</v>
      </c>
      <c r="B43" s="41" t="s">
        <v>134</v>
      </c>
      <c r="C43" s="29" t="str">
        <f>KL!C11</f>
        <v>Bê tông lót móng chiều rộng &lt;=250 cm vữa Mác 100 XMPC30 đá 4x6</v>
      </c>
      <c r="D43" s="40" t="s">
        <v>132</v>
      </c>
      <c r="E43" s="29"/>
      <c r="F43" s="29"/>
      <c r="G43" s="29"/>
      <c r="H43" s="39"/>
      <c r="J43" s="93">
        <f>KL!L11</f>
        <v>120</v>
      </c>
      <c r="L43" s="22">
        <v>2</v>
      </c>
    </row>
    <row r="44" spans="1:8" ht="15.75">
      <c r="A44" s="52"/>
      <c r="B44" s="52"/>
      <c r="C44" s="95" t="s">
        <v>252</v>
      </c>
      <c r="D44" s="52"/>
      <c r="E44" s="52"/>
      <c r="F44" s="52"/>
      <c r="G44" s="96">
        <f>ROUND(SUM(G45:G48),0)</f>
        <v>639982</v>
      </c>
      <c r="H44" s="107" t="s">
        <v>253</v>
      </c>
    </row>
    <row r="45" spans="1:11" ht="15.75">
      <c r="A45" s="59"/>
      <c r="B45" s="59"/>
      <c r="C45" s="106" t="s">
        <v>156</v>
      </c>
      <c r="D45" s="57" t="s">
        <v>158</v>
      </c>
      <c r="E45" s="59">
        <v>200.85</v>
      </c>
      <c r="F45" s="97">
        <f>SUMPRODUCT((VL!B7:VL!B10=$C$45)*(VL!G7:VL!G10=$I$45)*(VL!F7:VL!F10))</f>
        <v>1550</v>
      </c>
      <c r="G45" s="97">
        <f>ROUND(E45*F45,0)</f>
        <v>311318</v>
      </c>
      <c r="H45" s="55"/>
      <c r="I45" s="22" t="s">
        <v>157</v>
      </c>
      <c r="K45" s="94">
        <f>ROUND($J$43*E45,4)</f>
        <v>24102</v>
      </c>
    </row>
    <row r="46" spans="1:11" ht="18.75">
      <c r="A46" s="59"/>
      <c r="B46" s="59"/>
      <c r="C46" s="106" t="s">
        <v>148</v>
      </c>
      <c r="D46" s="57" t="s">
        <v>150</v>
      </c>
      <c r="E46" s="59">
        <v>0.5315</v>
      </c>
      <c r="F46" s="97">
        <f>SUMPRODUCT((VL!B7:VL!B10=$C$46)*(VL!G7:VL!G10=$I$46)*(VL!F7:VL!F10))</f>
        <v>210000</v>
      </c>
      <c r="G46" s="97">
        <f>ROUND(E46*F46,0)</f>
        <v>111615</v>
      </c>
      <c r="H46" s="55"/>
      <c r="I46" s="22" t="s">
        <v>149</v>
      </c>
      <c r="K46" s="94">
        <f>ROUND($J$43*E46,4)</f>
        <v>63.78</v>
      </c>
    </row>
    <row r="47" spans="1:11" ht="18.75">
      <c r="A47" s="59"/>
      <c r="B47" s="59"/>
      <c r="C47" s="106" t="s">
        <v>151</v>
      </c>
      <c r="D47" s="57" t="s">
        <v>150</v>
      </c>
      <c r="E47" s="59">
        <v>0.9363</v>
      </c>
      <c r="F47" s="97">
        <f>SUMPRODUCT((VL!B7:VL!B10=$C$47)*(VL!G7:VL!G10=$I$47)*(VL!F7:VL!F10))</f>
        <v>230000</v>
      </c>
      <c r="G47" s="97">
        <f>ROUND(E47*F47,0)</f>
        <v>215349</v>
      </c>
      <c r="H47" s="55"/>
      <c r="I47" s="22" t="s">
        <v>152</v>
      </c>
      <c r="K47" s="94">
        <f>ROUND($J$43*E47,4)</f>
        <v>112.356</v>
      </c>
    </row>
    <row r="48" spans="1:11" ht="15.75">
      <c r="A48" s="59"/>
      <c r="B48" s="59"/>
      <c r="C48" s="106" t="s">
        <v>153</v>
      </c>
      <c r="D48" s="57" t="s">
        <v>155</v>
      </c>
      <c r="E48" s="59">
        <v>169.95</v>
      </c>
      <c r="F48" s="97">
        <f>SUMPRODUCT((VL!B7:VL!B10=$C$48)*(VL!G7:VL!G10=$I$48)*(VL!F7:VL!F10))</f>
        <v>10</v>
      </c>
      <c r="G48" s="97">
        <f>ROUND(E48*F48,0)</f>
        <v>1700</v>
      </c>
      <c r="H48" s="55"/>
      <c r="I48" s="22" t="s">
        <v>154</v>
      </c>
      <c r="K48" s="94">
        <f>ROUND($J$43*E48,4)</f>
        <v>20394</v>
      </c>
    </row>
    <row r="49" spans="1:8" ht="15.75">
      <c r="A49" s="59"/>
      <c r="B49" s="59"/>
      <c r="C49" s="100" t="s">
        <v>212</v>
      </c>
      <c r="D49" s="59"/>
      <c r="E49" s="59"/>
      <c r="F49" s="59"/>
      <c r="G49" s="102">
        <f>ROUND(SUM(G50:G50),0)</f>
        <v>51719</v>
      </c>
      <c r="H49" s="111" t="s">
        <v>213</v>
      </c>
    </row>
    <row r="50" spans="1:11" ht="15.75">
      <c r="A50" s="59"/>
      <c r="B50" s="59"/>
      <c r="C50" s="106" t="s">
        <v>164</v>
      </c>
      <c r="D50" s="57" t="s">
        <v>165</v>
      </c>
      <c r="E50" s="59">
        <v>1.42</v>
      </c>
      <c r="F50" s="97">
        <f>SUMPRODUCT((NC!B7:NC!B8=$C$50)*(NC!E7:NC!E8=$I$50)*(NC!D7:NC!D8))</f>
        <v>36422</v>
      </c>
      <c r="G50" s="97">
        <f>ROUND(E50*F50,0)</f>
        <v>51719</v>
      </c>
      <c r="H50" s="55"/>
      <c r="I50" s="22" t="s">
        <v>166</v>
      </c>
      <c r="K50" s="94">
        <f>ROUND($J$43*E50,4)</f>
        <v>170.4</v>
      </c>
    </row>
    <row r="51" spans="1:8" ht="15.75">
      <c r="A51" s="59"/>
      <c r="B51" s="59"/>
      <c r="C51" s="100" t="s">
        <v>254</v>
      </c>
      <c r="D51" s="59"/>
      <c r="E51" s="59"/>
      <c r="F51" s="59"/>
      <c r="G51" s="102">
        <f>ROUND(SUM(G52:G53),0)</f>
        <v>17260</v>
      </c>
      <c r="H51" s="111" t="s">
        <v>255</v>
      </c>
    </row>
    <row r="52" spans="1:11" ht="15.75">
      <c r="A52" s="59"/>
      <c r="B52" s="59"/>
      <c r="C52" s="106" t="s">
        <v>192</v>
      </c>
      <c r="D52" s="57" t="s">
        <v>190</v>
      </c>
      <c r="E52" s="59">
        <v>0.095</v>
      </c>
      <c r="F52" s="97">
        <f>SUMPRODUCT((MAY!B7:MAY!B8=$C$52)*(MAY!J7:MAY!J8=$I$52)*(MAY!I7:MAY!I8))</f>
        <v>134780</v>
      </c>
      <c r="G52" s="97">
        <f>ROUND(E52*F52,0)</f>
        <v>12804</v>
      </c>
      <c r="H52" s="55"/>
      <c r="I52" s="22" t="s">
        <v>193</v>
      </c>
      <c r="K52" s="94">
        <f>ROUND($J$43*E52,4)</f>
        <v>11.4</v>
      </c>
    </row>
    <row r="53" spans="1:11" ht="15.75">
      <c r="A53" s="59"/>
      <c r="B53" s="59"/>
      <c r="C53" s="106" t="s">
        <v>189</v>
      </c>
      <c r="D53" s="57" t="s">
        <v>190</v>
      </c>
      <c r="E53" s="59">
        <v>0.089</v>
      </c>
      <c r="F53" s="97">
        <f>SUMPRODUCT((MAY!B7:MAY!B8=$C$53)*(MAY!J7:MAY!J8=$I$53)*(MAY!I7:MAY!I8))</f>
        <v>50069</v>
      </c>
      <c r="G53" s="97">
        <f>ROUND(E53*F53,0)</f>
        <v>4456</v>
      </c>
      <c r="H53" s="55"/>
      <c r="I53" s="22" t="s">
        <v>191</v>
      </c>
      <c r="K53" s="94">
        <f>ROUND($J$43*E53,4)</f>
        <v>10.68</v>
      </c>
    </row>
    <row r="54" spans="1:8" ht="15.75">
      <c r="A54" s="59"/>
      <c r="B54" s="59"/>
      <c r="C54" s="56" t="s">
        <v>214</v>
      </c>
      <c r="D54" s="59"/>
      <c r="E54" s="98" t="str">
        <f>"A1"</f>
        <v>A1</v>
      </c>
      <c r="F54" s="98"/>
      <c r="G54" s="97">
        <f>ROUND((G44),0)</f>
        <v>639982</v>
      </c>
      <c r="H54" s="108" t="s">
        <v>215</v>
      </c>
    </row>
    <row r="55" spans="1:8" ht="15.75">
      <c r="A55" s="59"/>
      <c r="B55" s="59"/>
      <c r="C55" s="56" t="s">
        <v>201</v>
      </c>
      <c r="D55" s="59"/>
      <c r="E55" s="98" t="str">
        <f>"B1*"&amp;TEXT(Info!C61,Info!D61)&amp;""</f>
        <v>B1*5.714</v>
      </c>
      <c r="F55" s="98"/>
      <c r="G55" s="97">
        <f>ROUND(G49*Info!C61,0)</f>
        <v>295522</v>
      </c>
      <c r="H55" s="108" t="s">
        <v>216</v>
      </c>
    </row>
    <row r="56" spans="1:8" ht="15.75">
      <c r="A56" s="59"/>
      <c r="B56" s="59"/>
      <c r="C56" s="56" t="s">
        <v>202</v>
      </c>
      <c r="D56" s="59"/>
      <c r="E56" s="98" t="str">
        <f>"C1*"&amp;TEXT(Info!C62,Info!D62)&amp;""</f>
        <v>C1*1.82</v>
      </c>
      <c r="F56" s="98"/>
      <c r="G56" s="97">
        <f>ROUND(G51*Info!C62,0)</f>
        <v>31413</v>
      </c>
      <c r="H56" s="108" t="s">
        <v>217</v>
      </c>
    </row>
    <row r="57" spans="1:8" ht="15.75">
      <c r="A57" s="59"/>
      <c r="B57" s="59"/>
      <c r="C57" s="56" t="s">
        <v>203</v>
      </c>
      <c r="D57" s="59"/>
      <c r="E57" s="98" t="str">
        <f>"VL*"&amp;TEXT(Info!C63,Info!D63)&amp;""</f>
        <v>VL*2%</v>
      </c>
      <c r="F57" s="98"/>
      <c r="G57" s="97">
        <f>ROUND(G54*Info!C63,0)</f>
        <v>12800</v>
      </c>
      <c r="H57" s="108" t="s">
        <v>218</v>
      </c>
    </row>
    <row r="58" spans="1:8" ht="15.75">
      <c r="A58" s="59"/>
      <c r="B58" s="59"/>
      <c r="C58" s="56" t="s">
        <v>219</v>
      </c>
      <c r="D58" s="59"/>
      <c r="E58" s="98" t="str">
        <f>"VL+TTVL"</f>
        <v>VL+TTVL</v>
      </c>
      <c r="F58" s="98"/>
      <c r="G58" s="97">
        <f>ROUND(G54+G57,0)</f>
        <v>652782</v>
      </c>
      <c r="H58" s="108" t="s">
        <v>220</v>
      </c>
    </row>
    <row r="59" spans="1:8" ht="15.75">
      <c r="A59" s="59"/>
      <c r="B59" s="59"/>
      <c r="C59" s="56" t="s">
        <v>204</v>
      </c>
      <c r="D59" s="59"/>
      <c r="E59" s="98" t="str">
        <f>"TVL*"&amp;TEXT(Info!C64,Info!D64)&amp;""</f>
        <v>TVL*6.5%</v>
      </c>
      <c r="F59" s="98"/>
      <c r="G59" s="97">
        <f>ROUND(G58*Info!C64,0)</f>
        <v>42431</v>
      </c>
      <c r="H59" s="108" t="s">
        <v>221</v>
      </c>
    </row>
    <row r="60" spans="1:8" ht="15.75">
      <c r="A60" s="59"/>
      <c r="B60" s="59"/>
      <c r="C60" s="56" t="s">
        <v>205</v>
      </c>
      <c r="D60" s="59"/>
      <c r="E60" s="98" t="str">
        <f>"(TVL+CVL)*"&amp;TEXT(Info!C65,Info!D65)&amp;""</f>
        <v>(TVL+CVL)*5.5%</v>
      </c>
      <c r="F60" s="98"/>
      <c r="G60" s="97">
        <f>ROUND((G58+G59)*Info!C65,0)</f>
        <v>38237</v>
      </c>
      <c r="H60" s="108" t="s">
        <v>222</v>
      </c>
    </row>
    <row r="61" spans="1:8" ht="15.75">
      <c r="A61" s="59"/>
      <c r="B61" s="59"/>
      <c r="C61" s="56" t="s">
        <v>223</v>
      </c>
      <c r="D61" s="59"/>
      <c r="E61" s="98" t="str">
        <f>"TVL+CVL+TLVL"</f>
        <v>TVL+CVL+TLVL</v>
      </c>
      <c r="F61" s="98"/>
      <c r="G61" s="97">
        <f>ROUND(G58+G59+G60,0)</f>
        <v>733450</v>
      </c>
      <c r="H61" s="108" t="s">
        <v>224</v>
      </c>
    </row>
    <row r="62" spans="1:8" ht="15.75">
      <c r="A62" s="59"/>
      <c r="B62" s="59"/>
      <c r="C62" s="56" t="s">
        <v>206</v>
      </c>
      <c r="D62" s="59"/>
      <c r="E62" s="98" t="str">
        <f>"GVL*"&amp;TEXT(Info!C66,Info!D66)&amp;""</f>
        <v>GVL*10%</v>
      </c>
      <c r="F62" s="98"/>
      <c r="G62" s="97">
        <f>ROUND(G61*Info!C66,0)</f>
        <v>73345</v>
      </c>
      <c r="H62" s="108" t="s">
        <v>225</v>
      </c>
    </row>
    <row r="63" spans="1:8" ht="15.75">
      <c r="A63" s="59"/>
      <c r="B63" s="59"/>
      <c r="C63" s="56" t="s">
        <v>226</v>
      </c>
      <c r="D63" s="59"/>
      <c r="E63" s="98" t="str">
        <f>"GVL+GTGTVL"</f>
        <v>GVL+GTGTVL</v>
      </c>
      <c r="F63" s="98"/>
      <c r="G63" s="97">
        <f>ROUND(G61+G62,0)</f>
        <v>806795</v>
      </c>
      <c r="H63" s="108" t="s">
        <v>227</v>
      </c>
    </row>
    <row r="64" spans="1:8" ht="15.75">
      <c r="A64" s="59"/>
      <c r="B64" s="59"/>
      <c r="C64" s="56" t="s">
        <v>207</v>
      </c>
      <c r="D64" s="59"/>
      <c r="E64" s="98" t="str">
        <f>"GVL*"&amp;TEXT(Info!C67,Info!D67)&amp;"*"&amp;TEXT(Info!E67,Info!F67)&amp;""</f>
        <v>GVL*1%*1.1</v>
      </c>
      <c r="F64" s="98"/>
      <c r="G64" s="97">
        <f>ROUND(G61*Info!C67*Info!E67,0)</f>
        <v>8068</v>
      </c>
      <c r="H64" s="108" t="s">
        <v>228</v>
      </c>
    </row>
    <row r="65" spans="1:8" s="44" customFormat="1" ht="15.75">
      <c r="A65" s="99"/>
      <c r="B65" s="99"/>
      <c r="C65" s="100" t="s">
        <v>229</v>
      </c>
      <c r="D65" s="99"/>
      <c r="E65" s="101" t="str">
        <f>"GXDVL+GXDNTVL"</f>
        <v>GXDVL+GXDNTVL</v>
      </c>
      <c r="F65" s="101"/>
      <c r="G65" s="102">
        <f>ROUND(G63+G64,0)</f>
        <v>814863</v>
      </c>
      <c r="H65" s="109" t="s">
        <v>230</v>
      </c>
    </row>
    <row r="66" spans="1:8" ht="15.75">
      <c r="A66" s="59"/>
      <c r="B66" s="59"/>
      <c r="C66" s="56" t="s">
        <v>203</v>
      </c>
      <c r="D66" s="59"/>
      <c r="E66" s="98" t="str">
        <f>"NC*"&amp;TEXT(Info!C68,Info!D68)&amp;""</f>
        <v>NC*2%</v>
      </c>
      <c r="F66" s="98"/>
      <c r="G66" s="97">
        <f>ROUND(G55*Info!C68,0)</f>
        <v>5910</v>
      </c>
      <c r="H66" s="108" t="s">
        <v>231</v>
      </c>
    </row>
    <row r="67" spans="1:8" ht="15.75">
      <c r="A67" s="59"/>
      <c r="B67" s="59"/>
      <c r="C67" s="56" t="s">
        <v>219</v>
      </c>
      <c r="D67" s="59"/>
      <c r="E67" s="98" t="str">
        <f>"NC+TTNC"</f>
        <v>NC+TTNC</v>
      </c>
      <c r="F67" s="98"/>
      <c r="G67" s="97">
        <f>ROUND(G55+G66,0)</f>
        <v>301432</v>
      </c>
      <c r="H67" s="108" t="s">
        <v>232</v>
      </c>
    </row>
    <row r="68" spans="1:8" ht="15.75">
      <c r="A68" s="59"/>
      <c r="B68" s="59"/>
      <c r="C68" s="56" t="s">
        <v>204</v>
      </c>
      <c r="D68" s="59"/>
      <c r="E68" s="98" t="str">
        <f>"TNC*"&amp;TEXT(Info!C69,Info!D69)&amp;""</f>
        <v>TNC*6.5%</v>
      </c>
      <c r="F68" s="98"/>
      <c r="G68" s="97">
        <f>ROUND(G67*Info!C69,0)</f>
        <v>19593</v>
      </c>
      <c r="H68" s="108" t="s">
        <v>233</v>
      </c>
    </row>
    <row r="69" spans="1:8" ht="15.75">
      <c r="A69" s="59"/>
      <c r="B69" s="59"/>
      <c r="C69" s="56" t="s">
        <v>205</v>
      </c>
      <c r="D69" s="59"/>
      <c r="E69" s="98" t="str">
        <f>"(TNC+CNC)*"&amp;TEXT(Info!C70,Info!D70)&amp;""</f>
        <v>(TNC+CNC)*5.5%</v>
      </c>
      <c r="F69" s="98"/>
      <c r="G69" s="97">
        <f>ROUND((G67+G68)*Info!C70,0)</f>
        <v>17656</v>
      </c>
      <c r="H69" s="108" t="s">
        <v>234</v>
      </c>
    </row>
    <row r="70" spans="1:8" ht="15.75">
      <c r="A70" s="59"/>
      <c r="B70" s="59"/>
      <c r="C70" s="56" t="s">
        <v>223</v>
      </c>
      <c r="D70" s="59"/>
      <c r="E70" s="98" t="str">
        <f>"TNC+CNC+TLNC"</f>
        <v>TNC+CNC+TLNC</v>
      </c>
      <c r="F70" s="98"/>
      <c r="G70" s="97">
        <f>ROUND(G67+G68+G69,0)</f>
        <v>338681</v>
      </c>
      <c r="H70" s="108" t="s">
        <v>235</v>
      </c>
    </row>
    <row r="71" spans="1:8" ht="15.75">
      <c r="A71" s="59"/>
      <c r="B71" s="59"/>
      <c r="C71" s="56" t="s">
        <v>206</v>
      </c>
      <c r="D71" s="59"/>
      <c r="E71" s="98" t="str">
        <f>"GNC*"&amp;TEXT(Info!C71,Info!D71)&amp;""</f>
        <v>GNC*10%</v>
      </c>
      <c r="F71" s="98"/>
      <c r="G71" s="97">
        <f>ROUND(G70*Info!C71,0)</f>
        <v>33868</v>
      </c>
      <c r="H71" s="108" t="s">
        <v>236</v>
      </c>
    </row>
    <row r="72" spans="1:8" ht="15.75">
      <c r="A72" s="59"/>
      <c r="B72" s="59"/>
      <c r="C72" s="56" t="s">
        <v>226</v>
      </c>
      <c r="D72" s="59"/>
      <c r="E72" s="98" t="str">
        <f>"GNC+GTGTNC"</f>
        <v>GNC+GTGTNC</v>
      </c>
      <c r="F72" s="98"/>
      <c r="G72" s="97">
        <f>ROUND(G70+G71,0)</f>
        <v>372549</v>
      </c>
      <c r="H72" s="108" t="s">
        <v>237</v>
      </c>
    </row>
    <row r="73" spans="1:8" ht="15.75">
      <c r="A73" s="59"/>
      <c r="B73" s="59"/>
      <c r="C73" s="56" t="s">
        <v>207</v>
      </c>
      <c r="D73" s="59"/>
      <c r="E73" s="98" t="str">
        <f>"GNC*"&amp;TEXT(Info!C72,Info!D72)&amp;"*"&amp;TEXT(Info!E72,Info!F72)&amp;""</f>
        <v>GNC*1%*1.1</v>
      </c>
      <c r="F73" s="98"/>
      <c r="G73" s="97">
        <f>ROUND(G70*Info!C72*Info!E72,0)</f>
        <v>3725</v>
      </c>
      <c r="H73" s="108" t="s">
        <v>238</v>
      </c>
    </row>
    <row r="74" spans="1:8" s="44" customFormat="1" ht="15.75">
      <c r="A74" s="99"/>
      <c r="B74" s="99"/>
      <c r="C74" s="100" t="s">
        <v>239</v>
      </c>
      <c r="D74" s="99"/>
      <c r="E74" s="101" t="str">
        <f>"GXDNC+GXDNTNC"</f>
        <v>GXDNC+GXDNTNC</v>
      </c>
      <c r="F74" s="101"/>
      <c r="G74" s="102">
        <f>ROUND(G72+G73,0)</f>
        <v>376274</v>
      </c>
      <c r="H74" s="109" t="s">
        <v>240</v>
      </c>
    </row>
    <row r="75" spans="1:8" ht="15.75">
      <c r="A75" s="59"/>
      <c r="B75" s="59"/>
      <c r="C75" s="56" t="s">
        <v>203</v>
      </c>
      <c r="D75" s="59"/>
      <c r="E75" s="98" t="str">
        <f>"M*"&amp;TEXT(Info!C73,Info!D73)&amp;""</f>
        <v>M*2%</v>
      </c>
      <c r="F75" s="98"/>
      <c r="G75" s="97">
        <f>ROUND(G56*Info!C73,0)</f>
        <v>628</v>
      </c>
      <c r="H75" s="108" t="s">
        <v>241</v>
      </c>
    </row>
    <row r="76" spans="1:8" ht="15.75">
      <c r="A76" s="59"/>
      <c r="B76" s="59"/>
      <c r="C76" s="56" t="s">
        <v>219</v>
      </c>
      <c r="D76" s="59"/>
      <c r="E76" s="98" t="str">
        <f>"M+TTM"</f>
        <v>M+TTM</v>
      </c>
      <c r="F76" s="98"/>
      <c r="G76" s="97">
        <f>ROUND(G56+G75,0)</f>
        <v>32041</v>
      </c>
      <c r="H76" s="108" t="s">
        <v>242</v>
      </c>
    </row>
    <row r="77" spans="1:8" ht="15.75">
      <c r="A77" s="59"/>
      <c r="B77" s="59"/>
      <c r="C77" s="56" t="s">
        <v>204</v>
      </c>
      <c r="D77" s="59"/>
      <c r="E77" s="98" t="str">
        <f>"TM*"&amp;TEXT(Info!C74,Info!D74)&amp;""</f>
        <v>TM*6.5%</v>
      </c>
      <c r="F77" s="98"/>
      <c r="G77" s="97">
        <f>ROUND(G76*Info!C74,0)</f>
        <v>2083</v>
      </c>
      <c r="H77" s="108" t="s">
        <v>243</v>
      </c>
    </row>
    <row r="78" spans="1:8" ht="15.75">
      <c r="A78" s="59"/>
      <c r="B78" s="59"/>
      <c r="C78" s="56" t="s">
        <v>205</v>
      </c>
      <c r="D78" s="59"/>
      <c r="E78" s="98" t="str">
        <f>"(TM+CM)*"&amp;TEXT(Info!C75,Info!D75)&amp;""</f>
        <v>(TM+CM)*5.5%</v>
      </c>
      <c r="F78" s="98"/>
      <c r="G78" s="97">
        <f>ROUND((G76+G77)*Info!C75,0)</f>
        <v>1877</v>
      </c>
      <c r="H78" s="108" t="s">
        <v>244</v>
      </c>
    </row>
    <row r="79" spans="1:8" ht="15.75">
      <c r="A79" s="59"/>
      <c r="B79" s="59"/>
      <c r="C79" s="56" t="s">
        <v>223</v>
      </c>
      <c r="D79" s="59"/>
      <c r="E79" s="98" t="str">
        <f>"TM+CM+TLM"</f>
        <v>TM+CM+TLM</v>
      </c>
      <c r="F79" s="98"/>
      <c r="G79" s="97">
        <f>ROUND(G76+G77+G78,0)</f>
        <v>36001</v>
      </c>
      <c r="H79" s="108" t="s">
        <v>245</v>
      </c>
    </row>
    <row r="80" spans="1:8" ht="15.75">
      <c r="A80" s="59"/>
      <c r="B80" s="59"/>
      <c r="C80" s="56" t="s">
        <v>206</v>
      </c>
      <c r="D80" s="59"/>
      <c r="E80" s="98" t="str">
        <f>"GM*"&amp;TEXT(Info!C76,Info!D76)&amp;""</f>
        <v>GM*10%</v>
      </c>
      <c r="F80" s="98"/>
      <c r="G80" s="97">
        <f>ROUND(G79*Info!C76,0)</f>
        <v>3600</v>
      </c>
      <c r="H80" s="108" t="s">
        <v>246</v>
      </c>
    </row>
    <row r="81" spans="1:8" ht="15.75">
      <c r="A81" s="59"/>
      <c r="B81" s="59"/>
      <c r="C81" s="56" t="s">
        <v>226</v>
      </c>
      <c r="D81" s="59"/>
      <c r="E81" s="98" t="str">
        <f>"GM+GTGTM"</f>
        <v>GM+GTGTM</v>
      </c>
      <c r="F81" s="98"/>
      <c r="G81" s="97">
        <f>ROUND(G79+G80,0)</f>
        <v>39601</v>
      </c>
      <c r="H81" s="108" t="s">
        <v>247</v>
      </c>
    </row>
    <row r="82" spans="1:8" ht="15.75">
      <c r="A82" s="59"/>
      <c r="B82" s="59"/>
      <c r="C82" s="56" t="s">
        <v>207</v>
      </c>
      <c r="D82" s="59"/>
      <c r="E82" s="98" t="str">
        <f>"GM*"&amp;TEXT(Info!C77,Info!D77)&amp;"*"&amp;TEXT(Info!E77,Info!F77)&amp;""</f>
        <v>GM*1%*1.1</v>
      </c>
      <c r="F82" s="98"/>
      <c r="G82" s="97">
        <f>ROUND(G79*Info!C77*Info!E77,0)</f>
        <v>396</v>
      </c>
      <c r="H82" s="108" t="s">
        <v>248</v>
      </c>
    </row>
    <row r="83" spans="1:8" s="44" customFormat="1" ht="15.75">
      <c r="A83" s="99"/>
      <c r="B83" s="99"/>
      <c r="C83" s="100" t="s">
        <v>249</v>
      </c>
      <c r="D83" s="99"/>
      <c r="E83" s="101" t="str">
        <f>"GXDM+GXDNTM"</f>
        <v>GXDM+GXDNTM</v>
      </c>
      <c r="F83" s="101"/>
      <c r="G83" s="102">
        <f>ROUND(G81+G82,0)</f>
        <v>39997</v>
      </c>
      <c r="H83" s="109" t="s">
        <v>250</v>
      </c>
    </row>
    <row r="84" spans="1:8" s="44" customFormat="1" ht="15.75">
      <c r="A84" s="103"/>
      <c r="B84" s="103"/>
      <c r="C84" s="103" t="str">
        <f>"TỔNG CỘNG"&amp;IF(Info!C78&gt;0," ("&amp;Info!A78&amp;" "&amp;TEXT(Info!C78,Info!D78)&amp;")","")</f>
        <v>TỔNG CỘNG</v>
      </c>
      <c r="D84" s="103"/>
      <c r="E84" s="104" t="str">
        <f>"VATLIEU+NHANCONG+MAY"</f>
        <v>VATLIEU+NHANCONG+MAY</v>
      </c>
      <c r="F84" s="104"/>
      <c r="G84" s="105">
        <f>ROUND((G65+G74+G83)*(100%-Info!C78),0)</f>
        <v>1231134</v>
      </c>
      <c r="H84" s="110" t="s">
        <v>251</v>
      </c>
    </row>
    <row r="85" spans="1:8" ht="15.75">
      <c r="A85" s="26"/>
      <c r="B85" s="27"/>
      <c r="C85" s="27"/>
      <c r="D85" s="27"/>
      <c r="E85" s="27"/>
      <c r="F85" s="27"/>
      <c r="G85" s="27"/>
      <c r="H85" s="75"/>
    </row>
    <row r="86" spans="1:12" ht="15.75">
      <c r="A86" s="39">
        <v>3</v>
      </c>
      <c r="B86" s="41" t="s">
        <v>137</v>
      </c>
      <c r="C86" s="29" t="str">
        <f>KL!C13</f>
        <v>Dọn dẹp vệ sinh</v>
      </c>
      <c r="D86" s="40" t="s">
        <v>139</v>
      </c>
      <c r="E86" s="29"/>
      <c r="F86" s="29"/>
      <c r="G86" s="29"/>
      <c r="H86" s="39"/>
      <c r="J86" s="93">
        <f>KL!L13</f>
        <v>5</v>
      </c>
      <c r="L86" s="22">
        <v>3</v>
      </c>
    </row>
    <row r="87" spans="1:8" ht="15.75">
      <c r="A87" s="52"/>
      <c r="B87" s="52"/>
      <c r="C87" s="95" t="s">
        <v>212</v>
      </c>
      <c r="D87" s="52"/>
      <c r="E87" s="52"/>
      <c r="F87" s="52"/>
      <c r="G87" s="96">
        <f>ROUND(SUM(G88:G88),0)</f>
        <v>50000</v>
      </c>
      <c r="H87" s="107" t="s">
        <v>213</v>
      </c>
    </row>
    <row r="88" spans="1:11" ht="15.75">
      <c r="A88" s="59"/>
      <c r="B88" s="59"/>
      <c r="C88" s="106" t="s">
        <v>167</v>
      </c>
      <c r="D88" s="57" t="s">
        <v>168</v>
      </c>
      <c r="E88" s="59">
        <v>1</v>
      </c>
      <c r="F88" s="97">
        <f>SUMPRODUCT((NC!B7:NC!B8=$C$88)*(NC!E7:NC!E8=$I$88)*(NC!D7:NC!D8))</f>
        <v>50000</v>
      </c>
      <c r="G88" s="97">
        <f>ROUND(E88*F88,0)</f>
        <v>50000</v>
      </c>
      <c r="H88" s="55"/>
      <c r="I88" s="22" t="s">
        <v>169</v>
      </c>
      <c r="K88" s="94">
        <f>ROUND($J$86*E88,4)</f>
        <v>5</v>
      </c>
    </row>
    <row r="89" spans="1:8" ht="15.75" hidden="1">
      <c r="A89" s="59"/>
      <c r="B89" s="59"/>
      <c r="C89" s="56" t="s">
        <v>214</v>
      </c>
      <c r="D89" s="59"/>
      <c r="E89" s="98" t="str">
        <f>"A1"</f>
        <v>A1</v>
      </c>
      <c r="F89" s="98"/>
      <c r="G89" s="97">
        <f>ROUND((0),0)</f>
        <v>0</v>
      </c>
      <c r="H89" s="108" t="s">
        <v>215</v>
      </c>
    </row>
    <row r="90" spans="1:8" ht="15.75">
      <c r="A90" s="59"/>
      <c r="B90" s="59"/>
      <c r="C90" s="56" t="s">
        <v>201</v>
      </c>
      <c r="D90" s="59"/>
      <c r="E90" s="98" t="str">
        <f>"B1*"&amp;TEXT(Info!C61,Info!D61)&amp;""</f>
        <v>B1*5.714</v>
      </c>
      <c r="F90" s="98"/>
      <c r="G90" s="97">
        <f>ROUND(G87*Info!C61,0)</f>
        <v>285700</v>
      </c>
      <c r="H90" s="108" t="s">
        <v>216</v>
      </c>
    </row>
    <row r="91" spans="1:8" ht="15.75" hidden="1">
      <c r="A91" s="59"/>
      <c r="B91" s="59"/>
      <c r="C91" s="56" t="s">
        <v>202</v>
      </c>
      <c r="D91" s="59"/>
      <c r="E91" s="98" t="str">
        <f>"C1*"&amp;TEXT(Info!C62,Info!D62)&amp;""</f>
        <v>C1*1.82</v>
      </c>
      <c r="F91" s="98"/>
      <c r="G91" s="97">
        <f>ROUND(0*Info!C62,0)</f>
        <v>0</v>
      </c>
      <c r="H91" s="108" t="s">
        <v>217</v>
      </c>
    </row>
    <row r="92" spans="1:8" ht="15.75" hidden="1">
      <c r="A92" s="59"/>
      <c r="B92" s="59"/>
      <c r="C92" s="56" t="s">
        <v>203</v>
      </c>
      <c r="D92" s="59"/>
      <c r="E92" s="98" t="str">
        <f>"VL*"&amp;TEXT(Info!C63,Info!D63)&amp;""</f>
        <v>VL*2%</v>
      </c>
      <c r="F92" s="98"/>
      <c r="G92" s="97">
        <f>ROUND(G89*Info!C63,0)</f>
        <v>0</v>
      </c>
      <c r="H92" s="108" t="s">
        <v>218</v>
      </c>
    </row>
    <row r="93" spans="1:8" ht="15.75" hidden="1">
      <c r="A93" s="59"/>
      <c r="B93" s="59"/>
      <c r="C93" s="56" t="s">
        <v>219</v>
      </c>
      <c r="D93" s="59"/>
      <c r="E93" s="98" t="str">
        <f>"VL+TTVL"</f>
        <v>VL+TTVL</v>
      </c>
      <c r="F93" s="98"/>
      <c r="G93" s="97">
        <f>ROUND(G89+G92,0)</f>
        <v>0</v>
      </c>
      <c r="H93" s="108" t="s">
        <v>220</v>
      </c>
    </row>
    <row r="94" spans="1:8" ht="15.75" hidden="1">
      <c r="A94" s="59"/>
      <c r="B94" s="59"/>
      <c r="C94" s="56" t="s">
        <v>204</v>
      </c>
      <c r="D94" s="59"/>
      <c r="E94" s="98" t="str">
        <f>"TVL*"&amp;TEXT(Info!C64,Info!D64)&amp;""</f>
        <v>TVL*6.5%</v>
      </c>
      <c r="F94" s="98"/>
      <c r="G94" s="97">
        <f>ROUND(G93*Info!C64,0)</f>
        <v>0</v>
      </c>
      <c r="H94" s="108" t="s">
        <v>221</v>
      </c>
    </row>
    <row r="95" spans="1:8" ht="15.75" hidden="1">
      <c r="A95" s="59"/>
      <c r="B95" s="59"/>
      <c r="C95" s="56" t="s">
        <v>205</v>
      </c>
      <c r="D95" s="59"/>
      <c r="E95" s="98" t="str">
        <f>"(TVL+CVL)*"&amp;TEXT(Info!C65,Info!D65)&amp;""</f>
        <v>(TVL+CVL)*5.5%</v>
      </c>
      <c r="F95" s="98"/>
      <c r="G95" s="97">
        <f>ROUND((G93+G94)*Info!C65,0)</f>
        <v>0</v>
      </c>
      <c r="H95" s="108" t="s">
        <v>222</v>
      </c>
    </row>
    <row r="96" spans="1:8" ht="15.75" hidden="1">
      <c r="A96" s="59"/>
      <c r="B96" s="59"/>
      <c r="C96" s="56" t="s">
        <v>223</v>
      </c>
      <c r="D96" s="59"/>
      <c r="E96" s="98" t="str">
        <f>"TVL+CVL+TLVL"</f>
        <v>TVL+CVL+TLVL</v>
      </c>
      <c r="F96" s="98"/>
      <c r="G96" s="97">
        <f>ROUND(G93+G94+G95,0)</f>
        <v>0</v>
      </c>
      <c r="H96" s="108" t="s">
        <v>224</v>
      </c>
    </row>
    <row r="97" spans="1:8" ht="15.75" hidden="1">
      <c r="A97" s="59"/>
      <c r="B97" s="59"/>
      <c r="C97" s="56" t="s">
        <v>206</v>
      </c>
      <c r="D97" s="59"/>
      <c r="E97" s="98" t="str">
        <f>"GVL*"&amp;TEXT(Info!C66,Info!D66)&amp;""</f>
        <v>GVL*10%</v>
      </c>
      <c r="F97" s="98"/>
      <c r="G97" s="97">
        <f>ROUND(G96*Info!C66,0)</f>
        <v>0</v>
      </c>
      <c r="H97" s="108" t="s">
        <v>225</v>
      </c>
    </row>
    <row r="98" spans="1:8" ht="15.75" hidden="1">
      <c r="A98" s="59"/>
      <c r="B98" s="59"/>
      <c r="C98" s="56" t="s">
        <v>226</v>
      </c>
      <c r="D98" s="59"/>
      <c r="E98" s="98" t="str">
        <f>"GVL+GTGTVL"</f>
        <v>GVL+GTGTVL</v>
      </c>
      <c r="F98" s="98"/>
      <c r="G98" s="97">
        <f>ROUND(G96+G97,0)</f>
        <v>0</v>
      </c>
      <c r="H98" s="108" t="s">
        <v>227</v>
      </c>
    </row>
    <row r="99" spans="1:8" ht="15.75" hidden="1">
      <c r="A99" s="59"/>
      <c r="B99" s="59"/>
      <c r="C99" s="56" t="s">
        <v>207</v>
      </c>
      <c r="D99" s="59"/>
      <c r="E99" s="98" t="str">
        <f>"GVL*"&amp;TEXT(Info!C67,Info!D67)&amp;"*"&amp;TEXT(Info!E67,Info!F67)&amp;""</f>
        <v>GVL*1%*1.1</v>
      </c>
      <c r="F99" s="98"/>
      <c r="G99" s="97">
        <f>ROUND(G96*Info!C67*Info!E67,0)</f>
        <v>0</v>
      </c>
      <c r="H99" s="108" t="s">
        <v>228</v>
      </c>
    </row>
    <row r="100" spans="1:8" s="44" customFormat="1" ht="15.75" hidden="1">
      <c r="A100" s="99"/>
      <c r="B100" s="99"/>
      <c r="C100" s="100" t="s">
        <v>229</v>
      </c>
      <c r="D100" s="99"/>
      <c r="E100" s="101" t="str">
        <f>"GXDVL+GXDNTVL"</f>
        <v>GXDVL+GXDNTVL</v>
      </c>
      <c r="F100" s="101"/>
      <c r="G100" s="102">
        <f>ROUND(G98+G99,0)</f>
        <v>0</v>
      </c>
      <c r="H100" s="109" t="s">
        <v>230</v>
      </c>
    </row>
    <row r="101" spans="1:8" ht="15.75">
      <c r="A101" s="59"/>
      <c r="B101" s="59"/>
      <c r="C101" s="56" t="s">
        <v>203</v>
      </c>
      <c r="D101" s="59"/>
      <c r="E101" s="98" t="str">
        <f>"NC*"&amp;TEXT(Info!C68,Info!D68)&amp;""</f>
        <v>NC*2%</v>
      </c>
      <c r="F101" s="98"/>
      <c r="G101" s="97">
        <f>ROUND(G90*Info!C68,0)</f>
        <v>5714</v>
      </c>
      <c r="H101" s="108" t="s">
        <v>231</v>
      </c>
    </row>
    <row r="102" spans="1:8" ht="15.75">
      <c r="A102" s="59"/>
      <c r="B102" s="59"/>
      <c r="C102" s="56" t="s">
        <v>219</v>
      </c>
      <c r="D102" s="59"/>
      <c r="E102" s="98" t="str">
        <f>"NC+TTNC"</f>
        <v>NC+TTNC</v>
      </c>
      <c r="F102" s="98"/>
      <c r="G102" s="97">
        <f>ROUND(G90+G101,0)</f>
        <v>291414</v>
      </c>
      <c r="H102" s="108" t="s">
        <v>232</v>
      </c>
    </row>
    <row r="103" spans="1:8" ht="15.75">
      <c r="A103" s="59"/>
      <c r="B103" s="59"/>
      <c r="C103" s="56" t="s">
        <v>204</v>
      </c>
      <c r="D103" s="59"/>
      <c r="E103" s="98" t="str">
        <f>"TNC*"&amp;TEXT(Info!C69,Info!D69)&amp;""</f>
        <v>TNC*6.5%</v>
      </c>
      <c r="F103" s="98"/>
      <c r="G103" s="97">
        <f>ROUND(G102*Info!C69,0)</f>
        <v>18942</v>
      </c>
      <c r="H103" s="108" t="s">
        <v>233</v>
      </c>
    </row>
    <row r="104" spans="1:8" ht="15.75">
      <c r="A104" s="59"/>
      <c r="B104" s="59"/>
      <c r="C104" s="56" t="s">
        <v>205</v>
      </c>
      <c r="D104" s="59"/>
      <c r="E104" s="98" t="str">
        <f>"(TNC+CNC)*"&amp;TEXT(Info!C70,Info!D70)&amp;""</f>
        <v>(TNC+CNC)*5.5%</v>
      </c>
      <c r="F104" s="98"/>
      <c r="G104" s="97">
        <f>ROUND((G102+G103)*Info!C70,0)</f>
        <v>17070</v>
      </c>
      <c r="H104" s="108" t="s">
        <v>234</v>
      </c>
    </row>
    <row r="105" spans="1:8" ht="15.75">
      <c r="A105" s="59"/>
      <c r="B105" s="59"/>
      <c r="C105" s="56" t="s">
        <v>223</v>
      </c>
      <c r="D105" s="59"/>
      <c r="E105" s="98" t="str">
        <f>"TNC+CNC+TLNC"</f>
        <v>TNC+CNC+TLNC</v>
      </c>
      <c r="F105" s="98"/>
      <c r="G105" s="97">
        <f>ROUND(G102+G103+G104,0)</f>
        <v>327426</v>
      </c>
      <c r="H105" s="108" t="s">
        <v>235</v>
      </c>
    </row>
    <row r="106" spans="1:8" ht="15.75">
      <c r="A106" s="59"/>
      <c r="B106" s="59"/>
      <c r="C106" s="56" t="s">
        <v>206</v>
      </c>
      <c r="D106" s="59"/>
      <c r="E106" s="98" t="str">
        <f>"GNC*"&amp;TEXT(Info!C71,Info!D71)&amp;""</f>
        <v>GNC*10%</v>
      </c>
      <c r="F106" s="98"/>
      <c r="G106" s="97">
        <f>ROUND(G105*Info!C71,0)</f>
        <v>32743</v>
      </c>
      <c r="H106" s="108" t="s">
        <v>236</v>
      </c>
    </row>
    <row r="107" spans="1:8" ht="15.75">
      <c r="A107" s="59"/>
      <c r="B107" s="59"/>
      <c r="C107" s="56" t="s">
        <v>226</v>
      </c>
      <c r="D107" s="59"/>
      <c r="E107" s="98" t="str">
        <f>"GNC+GTGTNC"</f>
        <v>GNC+GTGTNC</v>
      </c>
      <c r="F107" s="98"/>
      <c r="G107" s="97">
        <f>ROUND(G105+G106,0)</f>
        <v>360169</v>
      </c>
      <c r="H107" s="108" t="s">
        <v>237</v>
      </c>
    </row>
    <row r="108" spans="1:8" ht="15.75">
      <c r="A108" s="59"/>
      <c r="B108" s="59"/>
      <c r="C108" s="56" t="s">
        <v>207</v>
      </c>
      <c r="D108" s="59"/>
      <c r="E108" s="98" t="str">
        <f>"GNC*"&amp;TEXT(Info!C72,Info!D72)&amp;"*"&amp;TEXT(Info!E72,Info!F72)&amp;""</f>
        <v>GNC*1%*1.1</v>
      </c>
      <c r="F108" s="98"/>
      <c r="G108" s="97">
        <f>ROUND(G105*Info!C72*Info!E72,0)</f>
        <v>3602</v>
      </c>
      <c r="H108" s="108" t="s">
        <v>238</v>
      </c>
    </row>
    <row r="109" spans="1:8" s="44" customFormat="1" ht="15.75">
      <c r="A109" s="99"/>
      <c r="B109" s="99"/>
      <c r="C109" s="100" t="s">
        <v>239</v>
      </c>
      <c r="D109" s="99"/>
      <c r="E109" s="101" t="str">
        <f>"GXDNC+GXDNTNC"</f>
        <v>GXDNC+GXDNTNC</v>
      </c>
      <c r="F109" s="101"/>
      <c r="G109" s="102">
        <f>ROUND(G107+G108,0)</f>
        <v>363771</v>
      </c>
      <c r="H109" s="109" t="s">
        <v>240</v>
      </c>
    </row>
    <row r="110" spans="1:8" ht="15.75" hidden="1">
      <c r="A110" s="59"/>
      <c r="B110" s="59"/>
      <c r="C110" s="56" t="s">
        <v>203</v>
      </c>
      <c r="D110" s="59"/>
      <c r="E110" s="98" t="str">
        <f>"M*"&amp;TEXT(Info!C73,Info!D73)&amp;""</f>
        <v>M*2%</v>
      </c>
      <c r="F110" s="98"/>
      <c r="G110" s="97">
        <f>ROUND(G91*Info!C73,0)</f>
        <v>0</v>
      </c>
      <c r="H110" s="108" t="s">
        <v>241</v>
      </c>
    </row>
    <row r="111" spans="1:8" ht="15.75" hidden="1">
      <c r="A111" s="59"/>
      <c r="B111" s="59"/>
      <c r="C111" s="56" t="s">
        <v>219</v>
      </c>
      <c r="D111" s="59"/>
      <c r="E111" s="98" t="str">
        <f>"M+TTM"</f>
        <v>M+TTM</v>
      </c>
      <c r="F111" s="98"/>
      <c r="G111" s="97">
        <f>ROUND(G91+G110,0)</f>
        <v>0</v>
      </c>
      <c r="H111" s="108" t="s">
        <v>242</v>
      </c>
    </row>
    <row r="112" spans="1:8" ht="15.75" hidden="1">
      <c r="A112" s="59"/>
      <c r="B112" s="59"/>
      <c r="C112" s="56" t="s">
        <v>204</v>
      </c>
      <c r="D112" s="59"/>
      <c r="E112" s="98" t="str">
        <f>"TM*"&amp;TEXT(Info!C74,Info!D74)&amp;""</f>
        <v>TM*6.5%</v>
      </c>
      <c r="F112" s="98"/>
      <c r="G112" s="97">
        <f>ROUND(G111*Info!C74,0)</f>
        <v>0</v>
      </c>
      <c r="H112" s="108" t="s">
        <v>243</v>
      </c>
    </row>
    <row r="113" spans="1:8" ht="15.75" hidden="1">
      <c r="A113" s="59"/>
      <c r="B113" s="59"/>
      <c r="C113" s="56" t="s">
        <v>205</v>
      </c>
      <c r="D113" s="59"/>
      <c r="E113" s="98" t="str">
        <f>"(TM+CM)*"&amp;TEXT(Info!C75,Info!D75)&amp;""</f>
        <v>(TM+CM)*5.5%</v>
      </c>
      <c r="F113" s="98"/>
      <c r="G113" s="97">
        <f>ROUND((G111+G112)*Info!C75,0)</f>
        <v>0</v>
      </c>
      <c r="H113" s="108" t="s">
        <v>244</v>
      </c>
    </row>
    <row r="114" spans="1:8" ht="15.75" hidden="1">
      <c r="A114" s="59"/>
      <c r="B114" s="59"/>
      <c r="C114" s="56" t="s">
        <v>223</v>
      </c>
      <c r="D114" s="59"/>
      <c r="E114" s="98" t="str">
        <f>"TM+CM+TLM"</f>
        <v>TM+CM+TLM</v>
      </c>
      <c r="F114" s="98"/>
      <c r="G114" s="97">
        <f>ROUND(G111+G112+G113,0)</f>
        <v>0</v>
      </c>
      <c r="H114" s="108" t="s">
        <v>245</v>
      </c>
    </row>
    <row r="115" spans="1:8" ht="15.75" hidden="1">
      <c r="A115" s="59"/>
      <c r="B115" s="59"/>
      <c r="C115" s="56" t="s">
        <v>206</v>
      </c>
      <c r="D115" s="59"/>
      <c r="E115" s="98" t="str">
        <f>"GM*"&amp;TEXT(Info!C76,Info!D76)&amp;""</f>
        <v>GM*10%</v>
      </c>
      <c r="F115" s="98"/>
      <c r="G115" s="97">
        <f>ROUND(G114*Info!C76,0)</f>
        <v>0</v>
      </c>
      <c r="H115" s="108" t="s">
        <v>246</v>
      </c>
    </row>
    <row r="116" spans="1:8" ht="15.75" hidden="1">
      <c r="A116" s="59"/>
      <c r="B116" s="59"/>
      <c r="C116" s="56" t="s">
        <v>226</v>
      </c>
      <c r="D116" s="59"/>
      <c r="E116" s="98" t="str">
        <f>"GM+GTGTM"</f>
        <v>GM+GTGTM</v>
      </c>
      <c r="F116" s="98"/>
      <c r="G116" s="97">
        <f>ROUND(G114+G115,0)</f>
        <v>0</v>
      </c>
      <c r="H116" s="108" t="s">
        <v>247</v>
      </c>
    </row>
    <row r="117" spans="1:8" ht="15.75" hidden="1">
      <c r="A117" s="59"/>
      <c r="B117" s="59"/>
      <c r="C117" s="56" t="s">
        <v>207</v>
      </c>
      <c r="D117" s="59"/>
      <c r="E117" s="98" t="str">
        <f>"GM*"&amp;TEXT(Info!C77,Info!D77)&amp;"*"&amp;TEXT(Info!E77,Info!F77)&amp;""</f>
        <v>GM*1%*1.1</v>
      </c>
      <c r="F117" s="98"/>
      <c r="G117" s="97">
        <f>ROUND(G114*Info!C77*Info!E77,0)</f>
        <v>0</v>
      </c>
      <c r="H117" s="108" t="s">
        <v>248</v>
      </c>
    </row>
    <row r="118" spans="1:8" s="44" customFormat="1" ht="15.75" hidden="1">
      <c r="A118" s="99"/>
      <c r="B118" s="99"/>
      <c r="C118" s="100" t="s">
        <v>249</v>
      </c>
      <c r="D118" s="99"/>
      <c r="E118" s="101" t="str">
        <f>"GXDM+GXDNTM"</f>
        <v>GXDM+GXDNTM</v>
      </c>
      <c r="F118" s="101"/>
      <c r="G118" s="102">
        <f>ROUND(G116+G117,0)</f>
        <v>0</v>
      </c>
      <c r="H118" s="109" t="s">
        <v>250</v>
      </c>
    </row>
    <row r="119" spans="1:8" s="44" customFormat="1" ht="15.75">
      <c r="A119" s="103"/>
      <c r="B119" s="103"/>
      <c r="C119" s="103" t="str">
        <f>"TỔNG CỘNG"&amp;IF(Info!C78&gt;0," ("&amp;Info!A78&amp;" "&amp;TEXT(Info!C78,Info!D78)&amp;")","")</f>
        <v>TỔNG CỘNG</v>
      </c>
      <c r="D119" s="103"/>
      <c r="E119" s="104" t="str">
        <f>"VATLIEU+NHANCONG+MAY"</f>
        <v>VATLIEU+NHANCONG+MAY</v>
      </c>
      <c r="F119" s="104"/>
      <c r="G119" s="105">
        <f>ROUND((G100+G109+G118)*(100%-Info!C78),0)</f>
        <v>363771</v>
      </c>
      <c r="H119" s="110" t="s">
        <v>251</v>
      </c>
    </row>
  </sheetData>
  <sheetProtection/>
  <mergeCells count="96"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E108:F108"/>
    <mergeCell ref="E109:F109"/>
    <mergeCell ref="E110:F110"/>
    <mergeCell ref="E111:F111"/>
    <mergeCell ref="E104:F104"/>
    <mergeCell ref="E105:F105"/>
    <mergeCell ref="E106:F106"/>
    <mergeCell ref="E107:F107"/>
    <mergeCell ref="E100:F100"/>
    <mergeCell ref="E101:F101"/>
    <mergeCell ref="E102:F102"/>
    <mergeCell ref="E103:F103"/>
    <mergeCell ref="E96:F96"/>
    <mergeCell ref="E97:F97"/>
    <mergeCell ref="E98:F98"/>
    <mergeCell ref="E99:F99"/>
    <mergeCell ref="E92:F92"/>
    <mergeCell ref="E93:F93"/>
    <mergeCell ref="E94:F94"/>
    <mergeCell ref="E95:F95"/>
    <mergeCell ref="E84:F84"/>
    <mergeCell ref="E89:F89"/>
    <mergeCell ref="E90:F90"/>
    <mergeCell ref="E91:F91"/>
    <mergeCell ref="E80:F80"/>
    <mergeCell ref="E81:F81"/>
    <mergeCell ref="E82:F82"/>
    <mergeCell ref="E83:F83"/>
    <mergeCell ref="E76:F76"/>
    <mergeCell ref="E77:F77"/>
    <mergeCell ref="E78:F78"/>
    <mergeCell ref="E79:F79"/>
    <mergeCell ref="E72:F72"/>
    <mergeCell ref="E73:F73"/>
    <mergeCell ref="E74:F74"/>
    <mergeCell ref="E75:F75"/>
    <mergeCell ref="E68:F68"/>
    <mergeCell ref="E69:F69"/>
    <mergeCell ref="E70:F70"/>
    <mergeCell ref="E71:F71"/>
    <mergeCell ref="E64:F64"/>
    <mergeCell ref="E65:F65"/>
    <mergeCell ref="E66:F66"/>
    <mergeCell ref="E67:F67"/>
    <mergeCell ref="E60:F60"/>
    <mergeCell ref="E61:F61"/>
    <mergeCell ref="E62:F62"/>
    <mergeCell ref="E63:F63"/>
    <mergeCell ref="E56:F56"/>
    <mergeCell ref="E57:F57"/>
    <mergeCell ref="E58:F58"/>
    <mergeCell ref="E59:F59"/>
    <mergeCell ref="E40:F40"/>
    <mergeCell ref="E41:F41"/>
    <mergeCell ref="E54:F54"/>
    <mergeCell ref="E55:F55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E12:F12"/>
    <mergeCell ref="E13:F13"/>
    <mergeCell ref="E14:F14"/>
    <mergeCell ref="E15:F15"/>
    <mergeCell ref="A1:H1"/>
    <mergeCell ref="A2:H2"/>
    <mergeCell ref="A3:H3"/>
    <mergeCell ref="E11:F11"/>
  </mergeCells>
  <printOptions horizontalCentered="1"/>
  <pageMargins left="0.1" right="0.1" top="0.4" bottom="0.6" header="0.5" footer="0.25"/>
  <pageSetup horizontalDpi="180" verticalDpi="18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G12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28125" style="22" customWidth="1"/>
    <col min="2" max="2" width="10.7109375" style="22" customWidth="1"/>
    <col min="3" max="3" width="35.7109375" style="22" customWidth="1"/>
    <col min="4" max="4" width="8.7109375" style="22" customWidth="1"/>
    <col min="5" max="5" width="10.7109375" style="22" customWidth="1"/>
    <col min="6" max="6" width="13.7109375" style="22" customWidth="1"/>
    <col min="7" max="7" width="15.7109375" style="22" customWidth="1"/>
    <col min="8" max="16384" width="9.140625" style="22" customWidth="1"/>
  </cols>
  <sheetData>
    <row r="1" spans="1:7" ht="22.5">
      <c r="A1" s="23" t="str">
        <f>Info!B11</f>
        <v>BẢNG TỔNG HỢP DỰ TOÁN CHI PHÍ XÂY DỰNG</v>
      </c>
      <c r="B1" s="23"/>
      <c r="C1" s="23"/>
      <c r="D1" s="23"/>
      <c r="E1" s="23"/>
      <c r="F1" s="23"/>
      <c r="G1" s="23"/>
    </row>
    <row r="2" spans="1:7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</row>
    <row r="3" spans="1:7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</row>
    <row r="4" ht="16.5" thickBot="1"/>
    <row r="5" spans="1:7" ht="15.75">
      <c r="A5" s="119" t="s">
        <v>105</v>
      </c>
      <c r="B5" s="120" t="s">
        <v>106</v>
      </c>
      <c r="C5" s="120" t="s">
        <v>107</v>
      </c>
      <c r="D5" s="120" t="s">
        <v>114</v>
      </c>
      <c r="E5" s="120" t="s">
        <v>256</v>
      </c>
      <c r="F5" s="120" t="s">
        <v>210</v>
      </c>
      <c r="G5" s="121" t="s">
        <v>146</v>
      </c>
    </row>
    <row r="6" spans="1:7" ht="15.75">
      <c r="A6" s="122" t="s">
        <v>118</v>
      </c>
      <c r="B6" s="112" t="s">
        <v>119</v>
      </c>
      <c r="C6" s="112" t="s">
        <v>120</v>
      </c>
      <c r="D6" s="112" t="s">
        <v>121</v>
      </c>
      <c r="E6" s="112" t="s">
        <v>122</v>
      </c>
      <c r="F6" s="112" t="s">
        <v>123</v>
      </c>
      <c r="G6" s="123" t="s">
        <v>124</v>
      </c>
    </row>
    <row r="7" spans="1:7" ht="15.75">
      <c r="A7" s="124" t="s">
        <v>129</v>
      </c>
      <c r="B7" s="27"/>
      <c r="C7" s="27"/>
      <c r="D7" s="27"/>
      <c r="E7" s="27"/>
      <c r="F7" s="27"/>
      <c r="G7" s="125"/>
    </row>
    <row r="8" spans="1:7" ht="31.5">
      <c r="A8" s="126">
        <v>1</v>
      </c>
      <c r="B8" s="49" t="s">
        <v>130</v>
      </c>
      <c r="C8" s="52" t="str">
        <f>KL!C9</f>
        <v>Đào móng băng rộng &lt;=3m sâu &lt;=1 m đất cấp III</v>
      </c>
      <c r="D8" s="50" t="s">
        <v>132</v>
      </c>
      <c r="E8" s="113">
        <f>KL!L9</f>
        <v>50</v>
      </c>
      <c r="F8" s="114">
        <f>PTDG!G41</f>
        <v>328577</v>
      </c>
      <c r="G8" s="127">
        <f>ROUND(E8*F8,0)</f>
        <v>16428850</v>
      </c>
    </row>
    <row r="9" spans="1:7" ht="31.5">
      <c r="A9" s="128">
        <v>2</v>
      </c>
      <c r="B9" s="56" t="s">
        <v>134</v>
      </c>
      <c r="C9" s="59" t="str">
        <f>KL!C11</f>
        <v>Bê tông lót móng chiều rộng &lt;=250 cm vữa Mác 100 XMPC30 đá 4x6</v>
      </c>
      <c r="D9" s="57" t="s">
        <v>132</v>
      </c>
      <c r="E9" s="115">
        <f>KL!L11</f>
        <v>120</v>
      </c>
      <c r="F9" s="97">
        <f>PTDG!G84</f>
        <v>1231134</v>
      </c>
      <c r="G9" s="129">
        <f>ROUND(E9*F9,0)</f>
        <v>147736080</v>
      </c>
    </row>
    <row r="10" spans="1:7" ht="15.75">
      <c r="A10" s="130">
        <v>3</v>
      </c>
      <c r="B10" s="63" t="s">
        <v>137</v>
      </c>
      <c r="C10" s="66" t="str">
        <f>KL!C13</f>
        <v>Dọn dẹp vệ sinh</v>
      </c>
      <c r="D10" s="64" t="s">
        <v>139</v>
      </c>
      <c r="E10" s="116">
        <f>KL!L13</f>
        <v>5</v>
      </c>
      <c r="F10" s="117">
        <f>PTDG!G119</f>
        <v>363771</v>
      </c>
      <c r="G10" s="131">
        <f>ROUND(E10*F10,0)</f>
        <v>1818855</v>
      </c>
    </row>
    <row r="11" spans="1:7" ht="15.75">
      <c r="A11" s="132"/>
      <c r="B11" s="27"/>
      <c r="C11" s="27"/>
      <c r="D11" s="27"/>
      <c r="E11" s="27"/>
      <c r="F11" s="118" t="str">
        <f>"CỘNG "&amp;$A$7&amp;": "</f>
        <v>CỘNG I. PHẦN MÓNG: </v>
      </c>
      <c r="G11" s="133">
        <f>ROUND(SUM(G8:G10),0)</f>
        <v>165983785</v>
      </c>
    </row>
    <row r="12" spans="1:7" ht="16.5" thickBot="1">
      <c r="A12" s="134"/>
      <c r="B12" s="135"/>
      <c r="C12" s="135"/>
      <c r="D12" s="135"/>
      <c r="E12" s="135"/>
      <c r="F12" s="136" t="s">
        <v>257</v>
      </c>
      <c r="G12" s="137">
        <f>G11</f>
        <v>165983785</v>
      </c>
    </row>
  </sheetData>
  <mergeCells count="3">
    <mergeCell ref="A1:G1"/>
    <mergeCell ref="A2:G2"/>
    <mergeCell ref="A3:G3"/>
  </mergeCells>
  <printOptions horizontalCentered="1"/>
  <pageMargins left="0.1" right="0.1" top="0.4" bottom="0.5" header="0.5" footer="0.25"/>
  <pageSetup horizontalDpi="300" verticalDpi="3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N13"/>
  <sheetViews>
    <sheetView tabSelected="1" view="pageBreakPreview" zoomScaleSheetLayoutView="100" workbookViewId="0" topLeftCell="D1">
      <pane ySplit="7" topLeftCell="BM8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.28125" style="22" customWidth="1"/>
    <col min="2" max="2" width="10.7109375" style="22" customWidth="1"/>
    <col min="3" max="3" width="35.7109375" style="22" customWidth="1"/>
    <col min="4" max="4" width="8.7109375" style="22" customWidth="1"/>
    <col min="5" max="5" width="10.7109375" style="22" customWidth="1"/>
    <col min="6" max="6" width="11.7109375" style="22" customWidth="1"/>
    <col min="7" max="7" width="15.7109375" style="22" hidden="1" customWidth="1"/>
    <col min="8" max="9" width="11.7109375" style="22" customWidth="1"/>
    <col min="10" max="10" width="12.7109375" style="22" customWidth="1"/>
    <col min="11" max="11" width="15.7109375" style="22" hidden="1" customWidth="1"/>
    <col min="12" max="13" width="12.7109375" style="22" customWidth="1"/>
    <col min="14" max="14" width="15.7109375" style="22" customWidth="1"/>
    <col min="15" max="16384" width="9.140625" style="22" customWidth="1"/>
  </cols>
  <sheetData>
    <row r="1" spans="1:14" ht="22.5">
      <c r="A1" s="23" t="str">
        <f>Info!B11</f>
        <v>BẢNG TỔNG HỢP DỰ TOÁN CHI PHÍ XÂY DỰNG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6.5" thickBot="1"/>
    <row r="5" spans="1:14" ht="15.75">
      <c r="A5" s="142" t="s">
        <v>105</v>
      </c>
      <c r="B5" s="143" t="s">
        <v>106</v>
      </c>
      <c r="C5" s="143" t="s">
        <v>258</v>
      </c>
      <c r="D5" s="143" t="s">
        <v>114</v>
      </c>
      <c r="E5" s="143" t="s">
        <v>115</v>
      </c>
      <c r="F5" s="143" t="s">
        <v>210</v>
      </c>
      <c r="G5" s="143"/>
      <c r="H5" s="143"/>
      <c r="I5" s="143"/>
      <c r="J5" s="143" t="s">
        <v>146</v>
      </c>
      <c r="K5" s="143"/>
      <c r="L5" s="143"/>
      <c r="M5" s="143"/>
      <c r="N5" s="144" t="s">
        <v>263</v>
      </c>
    </row>
    <row r="6" spans="1:14" ht="15.75">
      <c r="A6" s="145"/>
      <c r="B6" s="74"/>
      <c r="C6" s="74"/>
      <c r="D6" s="74"/>
      <c r="E6" s="74"/>
      <c r="F6" s="36" t="s">
        <v>259</v>
      </c>
      <c r="G6" s="36" t="s">
        <v>260</v>
      </c>
      <c r="H6" s="36" t="s">
        <v>261</v>
      </c>
      <c r="I6" s="36" t="s">
        <v>262</v>
      </c>
      <c r="J6" s="36" t="s">
        <v>259</v>
      </c>
      <c r="K6" s="36" t="s">
        <v>260</v>
      </c>
      <c r="L6" s="36" t="s">
        <v>261</v>
      </c>
      <c r="M6" s="36" t="s">
        <v>262</v>
      </c>
      <c r="N6" s="146"/>
    </row>
    <row r="7" spans="1:14" ht="15.75">
      <c r="A7" s="122" t="s">
        <v>118</v>
      </c>
      <c r="B7" s="112" t="s">
        <v>119</v>
      </c>
      <c r="C7" s="112" t="s">
        <v>120</v>
      </c>
      <c r="D7" s="112" t="s">
        <v>121</v>
      </c>
      <c r="E7" s="112" t="s">
        <v>122</v>
      </c>
      <c r="F7" s="112" t="s">
        <v>123</v>
      </c>
      <c r="G7" s="112"/>
      <c r="H7" s="112" t="s">
        <v>124</v>
      </c>
      <c r="I7" s="112" t="s">
        <v>125</v>
      </c>
      <c r="J7" s="112" t="s">
        <v>126</v>
      </c>
      <c r="K7" s="112"/>
      <c r="L7" s="112" t="s">
        <v>127</v>
      </c>
      <c r="M7" s="112" t="s">
        <v>128</v>
      </c>
      <c r="N7" s="123" t="s">
        <v>177</v>
      </c>
    </row>
    <row r="8" spans="1:14" ht="15.75">
      <c r="A8" s="124" t="s">
        <v>129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5"/>
    </row>
    <row r="9" spans="1:14" ht="31.5">
      <c r="A9" s="126">
        <v>1</v>
      </c>
      <c r="B9" s="49" t="s">
        <v>130</v>
      </c>
      <c r="C9" s="52" t="str">
        <f>KL!C9</f>
        <v>Đào móng băng rộng &lt;=3m sâu &lt;=1 m đất cấp III</v>
      </c>
      <c r="D9" s="50" t="s">
        <v>132</v>
      </c>
      <c r="E9" s="113">
        <f>KL!L9</f>
        <v>50</v>
      </c>
      <c r="F9" s="138">
        <f>PTDG!G22</f>
        <v>0</v>
      </c>
      <c r="G9" s="138"/>
      <c r="H9" s="138">
        <f>PTDG!G31</f>
        <v>328577</v>
      </c>
      <c r="I9" s="138">
        <f>PTDG!G40</f>
        <v>0</v>
      </c>
      <c r="J9" s="138">
        <f>ROUND(E9*F9,0)</f>
        <v>0</v>
      </c>
      <c r="K9" s="138">
        <f>ROUND(E9*G9,0)</f>
        <v>0</v>
      </c>
      <c r="L9" s="138">
        <f>ROUND(E9*H9,0)</f>
        <v>16428850</v>
      </c>
      <c r="M9" s="138">
        <f>ROUND(E9*I9,0)</f>
        <v>0</v>
      </c>
      <c r="N9" s="147">
        <f>ROUND(J9+K9+L9+M9,0)</f>
        <v>16428850</v>
      </c>
    </row>
    <row r="10" spans="1:14" ht="31.5">
      <c r="A10" s="128">
        <v>2</v>
      </c>
      <c r="B10" s="56" t="s">
        <v>134</v>
      </c>
      <c r="C10" s="59" t="str">
        <f>KL!C11</f>
        <v>Bê tông lót móng chiều rộng &lt;=250 cm vữa Mác 100 XMPC30 đá 4x6</v>
      </c>
      <c r="D10" s="57" t="s">
        <v>132</v>
      </c>
      <c r="E10" s="115">
        <f>KL!L11</f>
        <v>120</v>
      </c>
      <c r="F10" s="139">
        <f>PTDG!G65</f>
        <v>814863</v>
      </c>
      <c r="G10" s="139"/>
      <c r="H10" s="139">
        <f>PTDG!G74</f>
        <v>376274</v>
      </c>
      <c r="I10" s="139">
        <f>PTDG!G83</f>
        <v>39997</v>
      </c>
      <c r="J10" s="139">
        <f>ROUND(E10*F10,0)</f>
        <v>97783560</v>
      </c>
      <c r="K10" s="139">
        <f>ROUND(E10*G10,0)</f>
        <v>0</v>
      </c>
      <c r="L10" s="139">
        <f>ROUND(E10*H10,0)</f>
        <v>45152880</v>
      </c>
      <c r="M10" s="139">
        <f>ROUND(E10*I10,0)</f>
        <v>4799640</v>
      </c>
      <c r="N10" s="148">
        <f>ROUND(J10+K10+L10+M10,0)</f>
        <v>147736080</v>
      </c>
    </row>
    <row r="11" spans="1:14" ht="15.75">
      <c r="A11" s="130">
        <v>3</v>
      </c>
      <c r="B11" s="63" t="s">
        <v>137</v>
      </c>
      <c r="C11" s="66" t="str">
        <f>KL!C13</f>
        <v>Dọn dẹp vệ sinh</v>
      </c>
      <c r="D11" s="64" t="s">
        <v>139</v>
      </c>
      <c r="E11" s="116">
        <f>KL!L13</f>
        <v>5</v>
      </c>
      <c r="F11" s="140">
        <f>PTDG!G100</f>
        <v>0</v>
      </c>
      <c r="G11" s="140"/>
      <c r="H11" s="140">
        <f>PTDG!G109</f>
        <v>363771</v>
      </c>
      <c r="I11" s="140">
        <f>PTDG!G118</f>
        <v>0</v>
      </c>
      <c r="J11" s="140">
        <f>ROUND(E11*F11,0)</f>
        <v>0</v>
      </c>
      <c r="K11" s="140">
        <f>ROUND(E11*G11,0)</f>
        <v>0</v>
      </c>
      <c r="L11" s="140">
        <f>ROUND(E11*H11,0)</f>
        <v>1818855</v>
      </c>
      <c r="M11" s="140">
        <f>ROUND(E11*I11,0)</f>
        <v>0</v>
      </c>
      <c r="N11" s="149">
        <f>ROUND(J11+K11+L11+M11,0)</f>
        <v>1818855</v>
      </c>
    </row>
    <row r="12" spans="1:14" ht="15.75">
      <c r="A12" s="132"/>
      <c r="B12" s="27"/>
      <c r="C12" s="27"/>
      <c r="D12" s="27"/>
      <c r="E12" s="27"/>
      <c r="F12" s="27"/>
      <c r="G12" s="27"/>
      <c r="H12" s="27"/>
      <c r="I12" s="118" t="str">
        <f>"CỘNG "&amp;$A$8&amp;": "</f>
        <v>CỘNG I. PHẦN MÓNG: </v>
      </c>
      <c r="J12" s="141">
        <f>ROUND(SUM(J9:J11),0)</f>
        <v>97783560</v>
      </c>
      <c r="K12" s="141">
        <f>ROUND(SUM(K9:K11),0)</f>
        <v>0</v>
      </c>
      <c r="L12" s="141">
        <f>ROUND(SUM(L9:L11),0)</f>
        <v>63400585</v>
      </c>
      <c r="M12" s="141">
        <f>ROUND(SUM(M9:M11),0)</f>
        <v>4799640</v>
      </c>
      <c r="N12" s="150">
        <f>ROUND(SUM(N9:N11),0)</f>
        <v>165983785</v>
      </c>
    </row>
    <row r="13" spans="1:14" ht="16.5" thickBot="1">
      <c r="A13" s="134"/>
      <c r="B13" s="135"/>
      <c r="C13" s="135"/>
      <c r="D13" s="135"/>
      <c r="E13" s="135"/>
      <c r="F13" s="135"/>
      <c r="G13" s="135"/>
      <c r="H13" s="135"/>
      <c r="I13" s="136" t="s">
        <v>264</v>
      </c>
      <c r="J13" s="151">
        <f>J12</f>
        <v>97783560</v>
      </c>
      <c r="K13" s="151">
        <f>K12</f>
        <v>0</v>
      </c>
      <c r="L13" s="151">
        <f>L12</f>
        <v>63400585</v>
      </c>
      <c r="M13" s="151">
        <f>M12</f>
        <v>4799640</v>
      </c>
      <c r="N13" s="152">
        <f>N12</f>
        <v>165983785</v>
      </c>
    </row>
  </sheetData>
  <mergeCells count="11"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I5"/>
    <mergeCell ref="J5:M5"/>
  </mergeCells>
  <printOptions horizontalCentered="1"/>
  <pageMargins left="0.1" right="0.1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IV244"/>
  <sheetViews>
    <sheetView zoomScalePageLayoutView="0" workbookViewId="0" topLeftCell="A28">
      <selection activeCell="A51" sqref="A51:A52"/>
    </sheetView>
  </sheetViews>
  <sheetFormatPr defaultColWidth="9.140625" defaultRowHeight="15.75" customHeight="1"/>
  <cols>
    <col min="1" max="1" width="40.57421875" style="0" bestFit="1" customWidth="1"/>
    <col min="2" max="2" width="27.57421875" style="7" customWidth="1"/>
    <col min="3" max="3" width="20.140625" style="17" customWidth="1"/>
    <col min="4" max="4" width="16.28125" style="17" hidden="1" customWidth="1"/>
    <col min="5" max="5" width="16.421875" style="17" customWidth="1"/>
    <col min="6" max="6" width="14.8515625" style="17" hidden="1" customWidth="1"/>
    <col min="7" max="7" width="15.57421875" style="0" customWidth="1"/>
  </cols>
  <sheetData>
    <row r="1" spans="1:2" ht="15.75" customHeight="1">
      <c r="A1" s="2" t="s">
        <v>6</v>
      </c>
      <c r="B1" s="11" t="s">
        <v>81</v>
      </c>
    </row>
    <row r="2" spans="1:2" ht="15.75" customHeight="1">
      <c r="A2" s="2" t="s">
        <v>7</v>
      </c>
      <c r="B2" s="11" t="s">
        <v>103</v>
      </c>
    </row>
    <row r="3" spans="1:6" s="6" customFormat="1" ht="15.75" customHeight="1">
      <c r="A3" s="15" t="s">
        <v>0</v>
      </c>
      <c r="B3" s="8" t="s">
        <v>82</v>
      </c>
      <c r="C3" s="18"/>
      <c r="D3" s="18"/>
      <c r="E3" s="18"/>
      <c r="F3" s="18"/>
    </row>
    <row r="4" spans="1:256" ht="15.75" customHeight="1">
      <c r="A4" s="1" t="s">
        <v>1</v>
      </c>
      <c r="B4" s="9" t="s">
        <v>83</v>
      </c>
      <c r="C4" s="19"/>
      <c r="D4" s="19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 customHeight="1">
      <c r="A5" s="1" t="s">
        <v>2</v>
      </c>
      <c r="B5" s="9" t="s">
        <v>84</v>
      </c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 customHeight="1">
      <c r="A6" s="1" t="s">
        <v>3</v>
      </c>
      <c r="B6" s="9" t="s">
        <v>85</v>
      </c>
      <c r="C6" s="19" t="s">
        <v>86</v>
      </c>
      <c r="D6" s="19"/>
      <c r="E6" s="19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 customHeight="1">
      <c r="A7" s="1" t="s">
        <v>4</v>
      </c>
      <c r="B7" s="9" t="s">
        <v>87</v>
      </c>
      <c r="C7" s="19" t="s">
        <v>88</v>
      </c>
      <c r="D7" s="19" t="s">
        <v>89</v>
      </c>
      <c r="E7" s="19" t="s">
        <v>90</v>
      </c>
      <c r="F7" s="19" t="s">
        <v>91</v>
      </c>
      <c r="G7" s="1" t="s">
        <v>92</v>
      </c>
      <c r="H7" s="1" t="s">
        <v>93</v>
      </c>
      <c r="I7" s="1" t="s">
        <v>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 customHeight="1">
      <c r="A8" s="1" t="s">
        <v>5</v>
      </c>
      <c r="B8" s="9" t="s">
        <v>95</v>
      </c>
      <c r="C8" s="19"/>
      <c r="D8" s="19"/>
      <c r="E8" s="19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 customHeight="1">
      <c r="A9" s="1" t="s">
        <v>70</v>
      </c>
      <c r="B9" s="9" t="s">
        <v>96</v>
      </c>
      <c r="C9" s="19"/>
      <c r="D9" s="19"/>
      <c r="E9" s="19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1" t="s">
        <v>71</v>
      </c>
      <c r="B10" s="9" t="s">
        <v>97</v>
      </c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1" t="s">
        <v>72</v>
      </c>
      <c r="B11" s="9" t="s">
        <v>98</v>
      </c>
      <c r="C11" s="19"/>
      <c r="D11" s="19"/>
      <c r="E11" s="19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5.75" customHeight="1">
      <c r="A12" s="5"/>
      <c r="B12" s="10"/>
      <c r="C12" s="20"/>
      <c r="D12" s="20"/>
      <c r="E12" s="20"/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" ht="15.75" customHeight="1">
      <c r="A13" s="3" t="s">
        <v>8</v>
      </c>
      <c r="B13" s="7" t="b">
        <v>1</v>
      </c>
    </row>
    <row r="14" spans="1:2" ht="15.75" customHeight="1">
      <c r="A14" s="3" t="s">
        <v>9</v>
      </c>
      <c r="B14" s="7">
        <v>3</v>
      </c>
    </row>
    <row r="15" spans="1:2" ht="15.75" customHeight="1">
      <c r="A15" s="3" t="s">
        <v>10</v>
      </c>
      <c r="B15" s="7">
        <v>3</v>
      </c>
    </row>
    <row r="16" spans="1:2" ht="15.75" customHeight="1">
      <c r="A16" s="3" t="s">
        <v>11</v>
      </c>
      <c r="B16" s="7" t="b">
        <v>0</v>
      </c>
    </row>
    <row r="17" spans="1:2" ht="15.75" customHeight="1">
      <c r="A17" s="3" t="s">
        <v>12</v>
      </c>
      <c r="B17" s="7" t="b">
        <v>1</v>
      </c>
    </row>
    <row r="18" spans="1:2" ht="15.75" customHeight="1">
      <c r="A18" s="3" t="s">
        <v>13</v>
      </c>
      <c r="B18" s="7" t="b">
        <v>1</v>
      </c>
    </row>
    <row r="19" spans="1:2" ht="15.75" customHeight="1">
      <c r="A19" s="3" t="s">
        <v>29</v>
      </c>
      <c r="B19" s="7" t="b">
        <v>1</v>
      </c>
    </row>
    <row r="20" spans="1:2" ht="15.75" customHeight="1">
      <c r="A20" s="3" t="s">
        <v>28</v>
      </c>
      <c r="B20" s="7" t="b">
        <v>1</v>
      </c>
    </row>
    <row r="21" spans="1:2" ht="15.75" customHeight="1">
      <c r="A21" s="3" t="s">
        <v>14</v>
      </c>
      <c r="B21" s="7" t="b">
        <v>1</v>
      </c>
    </row>
    <row r="22" ht="15.75" customHeight="1">
      <c r="A22" s="3" t="s">
        <v>15</v>
      </c>
    </row>
    <row r="23" ht="15.75" customHeight="1">
      <c r="A23" s="3" t="s">
        <v>16</v>
      </c>
    </row>
    <row r="24" spans="1:2" ht="15.75" customHeight="1">
      <c r="A24" s="3" t="s">
        <v>17</v>
      </c>
      <c r="B24" s="7" t="b">
        <v>0</v>
      </c>
    </row>
    <row r="25" spans="1:2" ht="38.25">
      <c r="A25" s="4" t="s">
        <v>18</v>
      </c>
      <c r="B25" s="7">
        <v>2</v>
      </c>
    </row>
    <row r="26" spans="1:2" ht="15.75" customHeight="1">
      <c r="A26" s="3" t="s">
        <v>19</v>
      </c>
      <c r="B26" s="7" t="b">
        <v>0</v>
      </c>
    </row>
    <row r="27" spans="1:2" ht="15.75" customHeight="1">
      <c r="A27" s="3" t="s">
        <v>20</v>
      </c>
      <c r="B27" s="7" t="b">
        <v>0</v>
      </c>
    </row>
    <row r="28" spans="2:6" s="6" customFormat="1" ht="15.75" customHeight="1">
      <c r="B28" s="8"/>
      <c r="C28" s="18"/>
      <c r="D28" s="18"/>
      <c r="E28" s="18"/>
      <c r="F28" s="18"/>
    </row>
    <row r="29" spans="1:2" ht="15.75" customHeight="1">
      <c r="A29" s="3" t="s">
        <v>23</v>
      </c>
      <c r="B29" s="7" t="s">
        <v>99</v>
      </c>
    </row>
    <row r="30" spans="1:2" ht="15.75" customHeight="1">
      <c r="A30" s="3" t="s">
        <v>26</v>
      </c>
      <c r="B30" s="7" t="s">
        <v>100</v>
      </c>
    </row>
    <row r="31" spans="1:2" ht="15.75" customHeight="1">
      <c r="A31" s="3" t="s">
        <v>21</v>
      </c>
      <c r="B31" s="7" t="s">
        <v>68</v>
      </c>
    </row>
    <row r="32" spans="1:2" ht="15.75" customHeight="1">
      <c r="A32" s="3" t="s">
        <v>22</v>
      </c>
      <c r="B32" s="7" t="s">
        <v>68</v>
      </c>
    </row>
    <row r="33" spans="1:2" ht="15.75" customHeight="1">
      <c r="A33" s="3" t="s">
        <v>24</v>
      </c>
      <c r="B33" s="7" t="s">
        <v>68</v>
      </c>
    </row>
    <row r="34" spans="1:2" ht="15.75" customHeight="1" hidden="1">
      <c r="A34" s="3"/>
      <c r="B34" s="7" t="s">
        <v>101</v>
      </c>
    </row>
    <row r="35" ht="15.75" customHeight="1" hidden="1">
      <c r="A35" s="3"/>
    </row>
    <row r="36" ht="15.75" customHeight="1" hidden="1">
      <c r="A36" s="3"/>
    </row>
    <row r="37" spans="1:2" ht="15.75" customHeight="1">
      <c r="A37" s="3" t="s">
        <v>30</v>
      </c>
      <c r="B37" s="7" t="s">
        <v>102</v>
      </c>
    </row>
    <row r="38" spans="1:2" ht="15.75" customHeight="1">
      <c r="A38" s="3" t="s">
        <v>25</v>
      </c>
      <c r="B38" s="7" t="s">
        <v>68</v>
      </c>
    </row>
    <row r="39" spans="1:2" ht="15.75" customHeight="1">
      <c r="A39" s="3" t="s">
        <v>31</v>
      </c>
      <c r="B39" s="7">
        <v>11</v>
      </c>
    </row>
    <row r="40" spans="1:2" ht="15.75" customHeight="1">
      <c r="A40" s="3" t="s">
        <v>27</v>
      </c>
      <c r="B40" s="7">
        <v>2013</v>
      </c>
    </row>
    <row r="41" ht="15.75" customHeight="1">
      <c r="A41" s="16"/>
    </row>
    <row r="42" spans="1:3" ht="15.75" customHeight="1">
      <c r="A42" s="3" t="s">
        <v>69</v>
      </c>
      <c r="B42" s="7" t="b">
        <v>0</v>
      </c>
      <c r="C42" s="17" t="b">
        <v>0</v>
      </c>
    </row>
    <row r="43" ht="15.75" customHeight="1">
      <c r="B43" s="7" t="s">
        <v>104</v>
      </c>
    </row>
    <row r="45" spans="1:3" ht="15.75" customHeight="1">
      <c r="A45" s="16" t="s">
        <v>73</v>
      </c>
      <c r="C45" s="17" t="b">
        <v>0</v>
      </c>
    </row>
    <row r="46" spans="1:3" ht="15.75" customHeight="1">
      <c r="A46" t="s">
        <v>74</v>
      </c>
      <c r="B46" s="7" t="b">
        <v>0</v>
      </c>
      <c r="C46" s="17" t="b">
        <v>0</v>
      </c>
    </row>
    <row r="47" ht="15.75" customHeight="1">
      <c r="B47" s="7" t="b">
        <v>1</v>
      </c>
    </row>
    <row r="50" ht="15.75" customHeight="1">
      <c r="A50" s="3"/>
    </row>
    <row r="51" spans="1:2" ht="15.75" customHeight="1">
      <c r="A51" s="21" t="s">
        <v>79</v>
      </c>
      <c r="B51" s="7" t="b">
        <v>0</v>
      </c>
    </row>
    <row r="52" spans="1:2" ht="15.75" customHeight="1">
      <c r="A52" t="s">
        <v>80</v>
      </c>
      <c r="B52" s="7">
        <v>0</v>
      </c>
    </row>
    <row r="60" spans="1:6" ht="18" customHeight="1">
      <c r="A60" s="86" t="s">
        <v>76</v>
      </c>
      <c r="B60" s="86" t="s">
        <v>75</v>
      </c>
      <c r="C60" s="87" t="s">
        <v>77</v>
      </c>
      <c r="D60" s="87" t="s">
        <v>78</v>
      </c>
      <c r="E60" s="88"/>
      <c r="F60" s="88"/>
    </row>
    <row r="61" spans="1:6" ht="15.75" customHeight="1">
      <c r="A61" s="89" t="s">
        <v>201</v>
      </c>
      <c r="B61" s="90"/>
      <c r="C61" s="91">
        <v>5.714</v>
      </c>
      <c r="D61" s="91" t="str">
        <f>IF(MOD(C61,1)=0,"0",REPLACE(MOD(C61,1),3,LEN(MOD(C61,1))-2,REPT("0",LEN(C61)-LEN(INT(C61))-1)))</f>
        <v>0.000</v>
      </c>
      <c r="E61" s="91"/>
      <c r="F61" s="91"/>
    </row>
    <row r="62" spans="1:6" ht="15.75" customHeight="1">
      <c r="A62" s="89" t="s">
        <v>202</v>
      </c>
      <c r="B62" s="90"/>
      <c r="C62" s="91">
        <v>1.82</v>
      </c>
      <c r="D62" s="91" t="str">
        <f>IF(MOD(C62,1)=0,"0",REPLACE(MOD(C62,1),3,LEN(MOD(C62,1))-2,REPT("0",LEN(C62)-LEN(INT(C62))-1)))</f>
        <v>0.00</v>
      </c>
      <c r="E62" s="91"/>
      <c r="F62" s="91"/>
    </row>
    <row r="63" spans="1:6" ht="15.75" customHeight="1">
      <c r="A63" s="89" t="s">
        <v>203</v>
      </c>
      <c r="B63" s="90"/>
      <c r="C63" s="92">
        <v>0.02</v>
      </c>
      <c r="D63" s="91" t="str">
        <f>IF(MOD(C63*100,1)=0,"0",REPLACE(MOD(C63*100,1),3,LEN(MOD(C63*100,1))-2,REPT("0",LEN(C63*100)-LEN(INT(C63*100))-1)))&amp;"%"</f>
        <v>0%</v>
      </c>
      <c r="E63" s="91"/>
      <c r="F63" s="91"/>
    </row>
    <row r="64" spans="1:6" ht="15.75" customHeight="1">
      <c r="A64" s="89" t="s">
        <v>204</v>
      </c>
      <c r="B64" s="90"/>
      <c r="C64" s="92">
        <v>0.065</v>
      </c>
      <c r="D64" s="91" t="str">
        <f>IF(MOD(C64*100,1)=0,"0",REPLACE(MOD(C64*100,1),3,LEN(MOD(C64*100,1))-2,REPT("0",LEN(C64*100)-LEN(INT(C64*100))-1)))&amp;"%"</f>
        <v>0.0%</v>
      </c>
      <c r="E64" s="91"/>
      <c r="F64" s="91"/>
    </row>
    <row r="65" spans="1:6" ht="15.75" customHeight="1">
      <c r="A65" s="89" t="s">
        <v>205</v>
      </c>
      <c r="B65" s="90"/>
      <c r="C65" s="92">
        <v>0.055</v>
      </c>
      <c r="D65" s="91" t="str">
        <f>IF(MOD(C65*100,1)=0,"0",REPLACE(MOD(C65*100,1),3,LEN(MOD(C65*100,1))-2,REPT("0",LEN(C65*100)-LEN(INT(C65*100))-1)))&amp;"%"</f>
        <v>0.0%</v>
      </c>
      <c r="E65" s="91"/>
      <c r="F65" s="91"/>
    </row>
    <row r="66" spans="1:6" ht="15.75" customHeight="1">
      <c r="A66" s="89" t="s">
        <v>206</v>
      </c>
      <c r="B66" s="90"/>
      <c r="C66" s="92">
        <v>0.1</v>
      </c>
      <c r="D66" s="91" t="str">
        <f>IF(MOD(C66*100,1)=0,"0",REPLACE(MOD(C66*100,1),3,LEN(MOD(C66*100,1))-2,REPT("0",LEN(C66*100)-LEN(INT(C66*100))-1)))&amp;"%"</f>
        <v>0%</v>
      </c>
      <c r="E66" s="91"/>
      <c r="F66" s="91"/>
    </row>
    <row r="67" spans="1:6" ht="15.75" customHeight="1">
      <c r="A67" s="89" t="s">
        <v>207</v>
      </c>
      <c r="B67" s="90"/>
      <c r="C67" s="92">
        <v>0.01</v>
      </c>
      <c r="D67" s="91" t="str">
        <f>IF(MOD(C67*100,1)=0,"0",REPLACE(MOD(C67*100,1),3,LEN(MOD(C67*100,1))-2,REPT("0",LEN(C67*100)-LEN(INT(C67*100))-1)))&amp;"%"</f>
        <v>0%</v>
      </c>
      <c r="E67" s="91">
        <v>1.1</v>
      </c>
      <c r="F67" s="91" t="str">
        <f>IF(MOD(E67,1)=0,"0",REPLACE(MOD(E67,1),3,LEN(MOD(E67,1))-2,REPT("0",LEN(E67)-LEN(INT(E67))-1)))</f>
        <v>0.0</v>
      </c>
    </row>
    <row r="68" spans="1:6" ht="15.75" customHeight="1">
      <c r="A68" s="89" t="s">
        <v>203</v>
      </c>
      <c r="B68" s="90"/>
      <c r="C68" s="92">
        <v>0.02</v>
      </c>
      <c r="D68" s="91" t="str">
        <f>IF(MOD(C68*100,1)=0,"0",REPLACE(MOD(C68*100,1),3,LEN(MOD(C68*100,1))-2,REPT("0",LEN(C68*100)-LEN(INT(C68*100))-1)))&amp;"%"</f>
        <v>0%</v>
      </c>
      <c r="E68" s="91"/>
      <c r="F68" s="91"/>
    </row>
    <row r="69" spans="1:6" ht="15.75" customHeight="1">
      <c r="A69" s="89" t="s">
        <v>204</v>
      </c>
      <c r="B69" s="90"/>
      <c r="C69" s="92">
        <v>0.065</v>
      </c>
      <c r="D69" s="91" t="str">
        <f>IF(MOD(C69*100,1)=0,"0",REPLACE(MOD(C69*100,1),3,LEN(MOD(C69*100,1))-2,REPT("0",LEN(C69*100)-LEN(INT(C69*100))-1)))&amp;"%"</f>
        <v>0.0%</v>
      </c>
      <c r="E69" s="91"/>
      <c r="F69" s="91"/>
    </row>
    <row r="70" spans="1:6" ht="15.75" customHeight="1">
      <c r="A70" s="89" t="s">
        <v>205</v>
      </c>
      <c r="B70" s="90"/>
      <c r="C70" s="92">
        <v>0.055</v>
      </c>
      <c r="D70" s="91" t="str">
        <f>IF(MOD(C70*100,1)=0,"0",REPLACE(MOD(C70*100,1),3,LEN(MOD(C70*100,1))-2,REPT("0",LEN(C70*100)-LEN(INT(C70*100))-1)))&amp;"%"</f>
        <v>0.0%</v>
      </c>
      <c r="E70" s="91"/>
      <c r="F70" s="91"/>
    </row>
    <row r="71" spans="1:6" ht="15.75" customHeight="1">
      <c r="A71" s="89" t="s">
        <v>206</v>
      </c>
      <c r="B71" s="90"/>
      <c r="C71" s="92">
        <v>0.1</v>
      </c>
      <c r="D71" s="91" t="str">
        <f>IF(MOD(C71*100,1)=0,"0",REPLACE(MOD(C71*100,1),3,LEN(MOD(C71*100,1))-2,REPT("0",LEN(C71*100)-LEN(INT(C71*100))-1)))&amp;"%"</f>
        <v>0%</v>
      </c>
      <c r="E71" s="91"/>
      <c r="F71" s="91"/>
    </row>
    <row r="72" spans="1:6" ht="15.75" customHeight="1">
      <c r="A72" s="89" t="s">
        <v>207</v>
      </c>
      <c r="B72" s="90"/>
      <c r="C72" s="92">
        <v>0.01</v>
      </c>
      <c r="D72" s="91" t="str">
        <f>IF(MOD(C72*100,1)=0,"0",REPLACE(MOD(C72*100,1),3,LEN(MOD(C72*100,1))-2,REPT("0",LEN(C72*100)-LEN(INT(C72*100))-1)))&amp;"%"</f>
        <v>0%</v>
      </c>
      <c r="E72" s="91">
        <v>1.1</v>
      </c>
      <c r="F72" s="91" t="str">
        <f>IF(MOD(E72,1)=0,"0",REPLACE(MOD(E72,1),3,LEN(MOD(E72,1))-2,REPT("0",LEN(E72)-LEN(INT(E72))-1)))</f>
        <v>0.0</v>
      </c>
    </row>
    <row r="73" spans="1:6" ht="15.75" customHeight="1">
      <c r="A73" s="89" t="s">
        <v>203</v>
      </c>
      <c r="B73" s="90"/>
      <c r="C73" s="92">
        <v>0.02</v>
      </c>
      <c r="D73" s="91" t="str">
        <f>IF(MOD(C73*100,1)=0,"0",REPLACE(MOD(C73*100,1),3,LEN(MOD(C73*100,1))-2,REPT("0",LEN(C73*100)-LEN(INT(C73*100))-1)))&amp;"%"</f>
        <v>0%</v>
      </c>
      <c r="E73" s="91"/>
      <c r="F73" s="91"/>
    </row>
    <row r="74" spans="1:6" ht="15.75" customHeight="1">
      <c r="A74" s="89" t="s">
        <v>204</v>
      </c>
      <c r="B74" s="90"/>
      <c r="C74" s="92">
        <v>0.065</v>
      </c>
      <c r="D74" s="91" t="str">
        <f>IF(MOD(C74*100,1)=0,"0",REPLACE(MOD(C74*100,1),3,LEN(MOD(C74*100,1))-2,REPT("0",LEN(C74*100)-LEN(INT(C74*100))-1)))&amp;"%"</f>
        <v>0.0%</v>
      </c>
      <c r="E74" s="91"/>
      <c r="F74" s="91"/>
    </row>
    <row r="75" spans="1:6" ht="15.75" customHeight="1">
      <c r="A75" s="89" t="s">
        <v>205</v>
      </c>
      <c r="B75" s="90"/>
      <c r="C75" s="92">
        <v>0.055</v>
      </c>
      <c r="D75" s="91" t="str">
        <f>IF(MOD(C75*100,1)=0,"0",REPLACE(MOD(C75*100,1),3,LEN(MOD(C75*100,1))-2,REPT("0",LEN(C75*100)-LEN(INT(C75*100))-1)))&amp;"%"</f>
        <v>0.0%</v>
      </c>
      <c r="E75" s="91"/>
      <c r="F75" s="91"/>
    </row>
    <row r="76" spans="1:6" ht="15.75" customHeight="1">
      <c r="A76" s="89" t="s">
        <v>206</v>
      </c>
      <c r="B76" s="90"/>
      <c r="C76" s="92">
        <v>0.1</v>
      </c>
      <c r="D76" s="91" t="str">
        <f>IF(MOD(C76*100,1)=0,"0",REPLACE(MOD(C76*100,1),3,LEN(MOD(C76*100,1))-2,REPT("0",LEN(C76*100)-LEN(INT(C76*100))-1)))&amp;"%"</f>
        <v>0%</v>
      </c>
      <c r="E76" s="91"/>
      <c r="F76" s="91"/>
    </row>
    <row r="77" spans="1:6" ht="15.75" customHeight="1">
      <c r="A77" s="89" t="s">
        <v>207</v>
      </c>
      <c r="B77" s="90"/>
      <c r="C77" s="92">
        <v>0.01</v>
      </c>
      <c r="D77" s="91" t="str">
        <f>IF(MOD(C77*100,1)=0,"0",REPLACE(MOD(C77*100,1),3,LEN(MOD(C77*100,1))-2,REPT("0",LEN(C77*100)-LEN(INT(C77*100))-1)))&amp;"%"</f>
        <v>0%</v>
      </c>
      <c r="E77" s="91">
        <v>1.1</v>
      </c>
      <c r="F77" s="91" t="str">
        <f>IF(MOD(E77,1)=0,"0",REPLACE(MOD(E77,1),3,LEN(MOD(E77,1))-2,REPT("0",LEN(E77)-LEN(INT(E77))-1)))</f>
        <v>0.0</v>
      </c>
    </row>
    <row r="78" spans="1:6" ht="15.75" customHeight="1">
      <c r="A78" s="89" t="s">
        <v>208</v>
      </c>
      <c r="B78" s="90"/>
      <c r="C78" s="92">
        <v>0</v>
      </c>
      <c r="D78" s="91" t="str">
        <f>IF(MOD(C78*100,1)=0,"0",REPLACE(MOD(C78*100,1),3,LEN(MOD(C78*100,1))-2,REPT("0",LEN(C78*100)-LEN(INT(C78*100))-1)))&amp;"%"</f>
        <v>0%</v>
      </c>
      <c r="E78" s="91"/>
      <c r="F78" s="91"/>
    </row>
    <row r="205" ht="15.75" customHeight="1">
      <c r="A205">
        <v>13</v>
      </c>
    </row>
    <row r="225" ht="15.75" customHeight="1">
      <c r="A225">
        <v>14</v>
      </c>
    </row>
    <row r="227" ht="15.75" customHeight="1">
      <c r="A227">
        <v>14</v>
      </c>
    </row>
    <row r="229" ht="15.75" customHeight="1">
      <c r="A229">
        <v>16</v>
      </c>
    </row>
    <row r="230" ht="15.75" customHeight="1">
      <c r="A230">
        <v>20</v>
      </c>
    </row>
    <row r="231" ht="15.75" customHeight="1">
      <c r="A231">
        <v>11</v>
      </c>
    </row>
    <row r="234" ht="15.75" customHeight="1">
      <c r="A234">
        <v>121</v>
      </c>
    </row>
    <row r="244" ht="15.75" customHeight="1">
      <c r="A244">
        <v>13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2" customWidth="1"/>
    <col min="2" max="2" width="10.7109375" style="22" customWidth="1"/>
    <col min="3" max="3" width="40.7109375" style="22" customWidth="1"/>
    <col min="4" max="4" width="9.140625" style="22" customWidth="1"/>
    <col min="5" max="9" width="8.7109375" style="22" customWidth="1"/>
    <col min="10" max="11" width="11.7109375" style="22" customWidth="1"/>
    <col min="12" max="13" width="0" style="22" hidden="1" customWidth="1"/>
    <col min="14" max="16384" width="9.140625" style="22" customWidth="1"/>
  </cols>
  <sheetData>
    <row r="1" spans="1:11" ht="22.5">
      <c r="A1" s="23" t="str">
        <f>Info!B3</f>
        <v>BẢNG KHỐI LƯỢNG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ht="31.5" customHeight="1">
      <c r="A5" s="31" t="s">
        <v>105</v>
      </c>
      <c r="B5" s="31" t="s">
        <v>106</v>
      </c>
      <c r="C5" s="31" t="s">
        <v>107</v>
      </c>
      <c r="D5" s="31" t="s">
        <v>108</v>
      </c>
      <c r="E5" s="32" t="s">
        <v>109</v>
      </c>
      <c r="F5" s="33"/>
      <c r="G5" s="34"/>
      <c r="H5" s="31" t="s">
        <v>113</v>
      </c>
      <c r="I5" s="31" t="s">
        <v>114</v>
      </c>
      <c r="J5" s="32" t="s">
        <v>115</v>
      </c>
      <c r="K5" s="34"/>
    </row>
    <row r="6" spans="1:11" ht="15.75">
      <c r="A6" s="35"/>
      <c r="B6" s="35"/>
      <c r="C6" s="35"/>
      <c r="D6" s="35"/>
      <c r="E6" s="36" t="s">
        <v>110</v>
      </c>
      <c r="F6" s="36" t="s">
        <v>111</v>
      </c>
      <c r="G6" s="36" t="s">
        <v>112</v>
      </c>
      <c r="H6" s="35"/>
      <c r="I6" s="35"/>
      <c r="J6" s="36" t="s">
        <v>116</v>
      </c>
      <c r="K6" s="36" t="s">
        <v>117</v>
      </c>
    </row>
    <row r="7" spans="1:11" ht="15.75">
      <c r="A7" s="37" t="s">
        <v>118</v>
      </c>
      <c r="B7" s="37" t="s">
        <v>119</v>
      </c>
      <c r="C7" s="37" t="s">
        <v>120</v>
      </c>
      <c r="D7" s="37" t="s">
        <v>121</v>
      </c>
      <c r="E7" s="37" t="s">
        <v>122</v>
      </c>
      <c r="F7" s="37" t="s">
        <v>123</v>
      </c>
      <c r="G7" s="37" t="s">
        <v>124</v>
      </c>
      <c r="H7" s="37" t="s">
        <v>125</v>
      </c>
      <c r="I7" s="37" t="s">
        <v>126</v>
      </c>
      <c r="J7" s="37" t="s">
        <v>127</v>
      </c>
      <c r="K7" s="37" t="s">
        <v>128</v>
      </c>
    </row>
    <row r="8" spans="1:11" ht="15.75">
      <c r="A8" s="38" t="s">
        <v>129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3" ht="31.5">
      <c r="A9" s="39">
        <v>1</v>
      </c>
      <c r="B9" s="40" t="s">
        <v>130</v>
      </c>
      <c r="C9" s="41" t="s">
        <v>131</v>
      </c>
      <c r="D9" s="29"/>
      <c r="E9" s="29"/>
      <c r="F9" s="29"/>
      <c r="G9" s="29"/>
      <c r="H9" s="29"/>
      <c r="I9" s="40" t="s">
        <v>132</v>
      </c>
      <c r="J9" s="29"/>
      <c r="K9" s="43">
        <f>SUM(J10:J10)</f>
        <v>50</v>
      </c>
      <c r="L9" s="44">
        <f>ROUND(SUM(L10:L10),3)</f>
        <v>50</v>
      </c>
      <c r="M9" s="22">
        <v>1</v>
      </c>
    </row>
    <row r="10" spans="1:12" ht="15.75">
      <c r="A10" s="29"/>
      <c r="B10" s="29"/>
      <c r="C10" s="45" t="s">
        <v>133</v>
      </c>
      <c r="D10" s="29">
        <v>1</v>
      </c>
      <c r="E10" s="42">
        <v>0</v>
      </c>
      <c r="F10" s="42">
        <v>0</v>
      </c>
      <c r="G10" s="42">
        <v>0</v>
      </c>
      <c r="H10" s="42">
        <v>0</v>
      </c>
      <c r="I10" s="29"/>
      <c r="J10" s="42">
        <f>ROUND(IF(AND(OR(D10=0,D10=1),E10=0,F10=0,G10=0,H10=0),50,IF(E10&lt;&gt;0,E10,1)*IF(F10&lt;&gt;0,F10,1)*IF(G10&lt;&gt;0,G10,1)*IF(H10&lt;&gt;0,H10,1)*IF(D10&lt;&gt;0,D10,1)),3)</f>
        <v>50</v>
      </c>
      <c r="K10" s="29"/>
      <c r="L10" s="22">
        <f>ROUND(IF(Info!$B$24=TRUE,J10/M9,J10),3)</f>
        <v>50</v>
      </c>
    </row>
    <row r="11" spans="1:13" ht="31.5">
      <c r="A11" s="39">
        <v>2</v>
      </c>
      <c r="B11" s="40" t="s">
        <v>134</v>
      </c>
      <c r="C11" s="41" t="s">
        <v>135</v>
      </c>
      <c r="D11" s="29"/>
      <c r="E11" s="29"/>
      <c r="F11" s="29"/>
      <c r="G11" s="29"/>
      <c r="H11" s="29"/>
      <c r="I11" s="40" t="s">
        <v>132</v>
      </c>
      <c r="J11" s="29"/>
      <c r="K11" s="43">
        <f>SUM(J12:J12)</f>
        <v>120</v>
      </c>
      <c r="L11" s="44">
        <f>ROUND(SUM(L12:L12),3)</f>
        <v>120</v>
      </c>
      <c r="M11" s="22">
        <v>1</v>
      </c>
    </row>
    <row r="12" spans="1:12" ht="15.75">
      <c r="A12" s="29"/>
      <c r="B12" s="29"/>
      <c r="C12" s="45" t="s">
        <v>136</v>
      </c>
      <c r="D12" s="29">
        <v>1</v>
      </c>
      <c r="E12" s="42">
        <v>0</v>
      </c>
      <c r="F12" s="42">
        <v>0</v>
      </c>
      <c r="G12" s="42">
        <v>0</v>
      </c>
      <c r="H12" s="42">
        <v>0</v>
      </c>
      <c r="I12" s="29"/>
      <c r="J12" s="42">
        <f>ROUND(IF(AND(OR(D12=0,D12=1),E12=0,F12=0,G12=0,H12=0),120,IF(E12&lt;&gt;0,E12,1)*IF(F12&lt;&gt;0,F12,1)*IF(G12&lt;&gt;0,G12,1)*IF(H12&lt;&gt;0,H12,1)*IF(D12&lt;&gt;0,D12,1)),3)</f>
        <v>120</v>
      </c>
      <c r="K12" s="29"/>
      <c r="L12" s="22">
        <f>ROUND(IF(Info!$B$24=TRUE,J12/M11,J12),3)</f>
        <v>120</v>
      </c>
    </row>
    <row r="13" spans="1:13" ht="15.75">
      <c r="A13" s="39">
        <v>3</v>
      </c>
      <c r="B13" s="40" t="s">
        <v>137</v>
      </c>
      <c r="C13" s="41" t="s">
        <v>138</v>
      </c>
      <c r="D13" s="29"/>
      <c r="E13" s="29"/>
      <c r="F13" s="29"/>
      <c r="G13" s="29"/>
      <c r="H13" s="29"/>
      <c r="I13" s="40" t="s">
        <v>139</v>
      </c>
      <c r="J13" s="29"/>
      <c r="K13" s="43">
        <f>SUM(J14:J14)</f>
        <v>5</v>
      </c>
      <c r="L13" s="44">
        <f>ROUND(SUM(L14:L14),3)</f>
        <v>5</v>
      </c>
      <c r="M13" s="22">
        <v>1</v>
      </c>
    </row>
    <row r="14" spans="1:12" ht="15.75">
      <c r="A14" s="29"/>
      <c r="B14" s="29"/>
      <c r="C14" s="45" t="s">
        <v>140</v>
      </c>
      <c r="D14" s="29">
        <v>1</v>
      </c>
      <c r="E14" s="42">
        <v>0</v>
      </c>
      <c r="F14" s="42">
        <v>0</v>
      </c>
      <c r="G14" s="42">
        <v>0</v>
      </c>
      <c r="H14" s="42">
        <v>0</v>
      </c>
      <c r="I14" s="29"/>
      <c r="J14" s="42">
        <f>ROUND(IF(AND(OR(D14=0,D14=1),E14=0,F14=0,G14=0,H14=0),5,IF(E14&lt;&gt;0,E14,1)*IF(F14&lt;&gt;0,F14,1)*IF(G14&lt;&gt;0,G14,1)*IF(H14&lt;&gt;0,H14,1)*IF(D14&lt;&gt;0,D14,1)),3)</f>
        <v>5</v>
      </c>
      <c r="K14" s="29"/>
      <c r="L14" s="22">
        <f>ROUND(IF(Info!$B$24=TRUE,J14/M13,J14),3)</f>
        <v>5</v>
      </c>
    </row>
  </sheetData>
  <sheetProtection/>
  <mergeCells count="11">
    <mergeCell ref="J5:K5"/>
    <mergeCell ref="A1:K1"/>
    <mergeCell ref="A2:K2"/>
    <mergeCell ref="A3:K3"/>
    <mergeCell ref="A5:A6"/>
    <mergeCell ref="B5:B6"/>
    <mergeCell ref="C5:C6"/>
    <mergeCell ref="D5:D6"/>
    <mergeCell ref="E5:G5"/>
    <mergeCell ref="H5:H6"/>
    <mergeCell ref="I5:I6"/>
  </mergeCells>
  <printOptions horizontalCentered="1"/>
  <pageMargins left="0.25" right="0.25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2" customWidth="1"/>
    <col min="2" max="2" width="30.7109375" style="22" customWidth="1"/>
    <col min="3" max="3" width="7.7109375" style="22" customWidth="1"/>
    <col min="4" max="6" width="14.7109375" style="22" customWidth="1"/>
    <col min="7" max="7" width="11.7109375" style="22" hidden="1" customWidth="1"/>
    <col min="8" max="11" width="0" style="22" hidden="1" customWidth="1"/>
    <col min="12" max="16384" width="9.140625" style="22" customWidth="1"/>
  </cols>
  <sheetData>
    <row r="1" spans="1:10" ht="22.5">
      <c r="A1" s="23" t="str">
        <f>Info!B5</f>
        <v>BẢNG GIÁ VẬT LIỆU ĐẾN HIỆN TRƯỜNG XÂY LẮP</v>
      </c>
      <c r="B1" s="23"/>
      <c r="C1" s="23"/>
      <c r="D1" s="23"/>
      <c r="E1" s="23"/>
      <c r="F1" s="23"/>
      <c r="G1" s="46"/>
      <c r="H1" s="46"/>
      <c r="I1" s="46"/>
      <c r="J1" s="46"/>
    </row>
    <row r="2" spans="1:10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46"/>
      <c r="H2" s="46"/>
      <c r="I2" s="46"/>
      <c r="J2" s="46"/>
    </row>
    <row r="3" spans="1:10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46"/>
      <c r="H3" s="46"/>
      <c r="I3" s="46"/>
      <c r="J3" s="46"/>
    </row>
    <row r="4" spans="1:10" ht="15.7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31.5">
      <c r="A5" s="47" t="s">
        <v>105</v>
      </c>
      <c r="B5" s="47" t="s">
        <v>141</v>
      </c>
      <c r="C5" s="47" t="s">
        <v>114</v>
      </c>
      <c r="D5" s="47" t="s">
        <v>142</v>
      </c>
      <c r="E5" s="47" t="s">
        <v>143</v>
      </c>
      <c r="F5" s="47" t="s">
        <v>144</v>
      </c>
      <c r="G5" s="47"/>
      <c r="H5" s="47" t="s">
        <v>77</v>
      </c>
      <c r="I5" s="47" t="s">
        <v>115</v>
      </c>
      <c r="J5" s="47" t="s">
        <v>146</v>
      </c>
    </row>
    <row r="6" spans="1:11" ht="25.5">
      <c r="A6" s="37" t="s">
        <v>118</v>
      </c>
      <c r="B6" s="37" t="s">
        <v>119</v>
      </c>
      <c r="C6" s="37" t="s">
        <v>120</v>
      </c>
      <c r="D6" s="37" t="s">
        <v>121</v>
      </c>
      <c r="E6" s="37" t="s">
        <v>122</v>
      </c>
      <c r="F6" s="37" t="s">
        <v>145</v>
      </c>
      <c r="G6" s="37"/>
      <c r="H6" s="37" t="s">
        <v>124</v>
      </c>
      <c r="I6" s="37" t="s">
        <v>125</v>
      </c>
      <c r="J6" s="37" t="s">
        <v>147</v>
      </c>
      <c r="K6" s="22">
        <v>1</v>
      </c>
    </row>
    <row r="7" spans="1:10" ht="18.75">
      <c r="A7" s="48">
        <v>1</v>
      </c>
      <c r="B7" s="49" t="s">
        <v>148</v>
      </c>
      <c r="C7" s="50" t="s">
        <v>150</v>
      </c>
      <c r="D7" s="71">
        <v>210000</v>
      </c>
      <c r="E7" s="71"/>
      <c r="F7" s="71">
        <f>D7+E7</f>
        <v>210000</v>
      </c>
      <c r="G7" s="52" t="s">
        <v>149</v>
      </c>
      <c r="H7" s="53">
        <f>$K$6</f>
        <v>1</v>
      </c>
      <c r="I7" s="54">
        <f>ROUND(SUMPRODUCT((PTDG!C7:PTDG!C119=B7)*(PTDG!I7:PTDG!I119=G7)*(PTDG!K7:PTDG!K119)),3)</f>
        <v>63.78</v>
      </c>
      <c r="J7" s="51">
        <f>ROUND(F7*I7*H7,0)</f>
        <v>13393800</v>
      </c>
    </row>
    <row r="8" spans="1:10" ht="18.75">
      <c r="A8" s="55">
        <v>2</v>
      </c>
      <c r="B8" s="56" t="s">
        <v>151</v>
      </c>
      <c r="C8" s="57" t="s">
        <v>150</v>
      </c>
      <c r="D8" s="72">
        <v>230000</v>
      </c>
      <c r="E8" s="72"/>
      <c r="F8" s="72">
        <f>D8+E8</f>
        <v>230000</v>
      </c>
      <c r="G8" s="59" t="s">
        <v>152</v>
      </c>
      <c r="H8" s="60">
        <f>$K$6</f>
        <v>1</v>
      </c>
      <c r="I8" s="61">
        <f>ROUND(SUMPRODUCT((PTDG!C7:PTDG!C119=B8)*(PTDG!I7:PTDG!I119=G8)*(PTDG!K7:PTDG!K119)),3)</f>
        <v>112.356</v>
      </c>
      <c r="J8" s="58">
        <f>ROUND(F8*I8*H8,0)</f>
        <v>25841880</v>
      </c>
    </row>
    <row r="9" spans="1:10" ht="15.75">
      <c r="A9" s="55">
        <v>3</v>
      </c>
      <c r="B9" s="56" t="s">
        <v>153</v>
      </c>
      <c r="C9" s="57" t="s">
        <v>155</v>
      </c>
      <c r="D9" s="72">
        <v>10</v>
      </c>
      <c r="E9" s="72"/>
      <c r="F9" s="72">
        <f>D9+E9</f>
        <v>10</v>
      </c>
      <c r="G9" s="59" t="s">
        <v>154</v>
      </c>
      <c r="H9" s="60">
        <f>$K$6</f>
        <v>1</v>
      </c>
      <c r="I9" s="61">
        <f>ROUND(SUMPRODUCT((PTDG!C7:PTDG!C119=B9)*(PTDG!I7:PTDG!I119=G9)*(PTDG!K7:PTDG!K119)),3)</f>
        <v>20394</v>
      </c>
      <c r="J9" s="58">
        <f>ROUND(F9*I9*H9,0)</f>
        <v>203940</v>
      </c>
    </row>
    <row r="10" spans="1:10" ht="15.75">
      <c r="A10" s="62">
        <v>4</v>
      </c>
      <c r="B10" s="63" t="s">
        <v>156</v>
      </c>
      <c r="C10" s="64" t="s">
        <v>158</v>
      </c>
      <c r="D10" s="73">
        <v>1550</v>
      </c>
      <c r="E10" s="73"/>
      <c r="F10" s="73">
        <f>D10+E10</f>
        <v>1550</v>
      </c>
      <c r="G10" s="66" t="s">
        <v>157</v>
      </c>
      <c r="H10" s="67">
        <f>$K$6</f>
        <v>1</v>
      </c>
      <c r="I10" s="68">
        <f>ROUND(SUMPRODUCT((PTDG!C7:PTDG!C119=B10)*(PTDG!I7:PTDG!I119=G10)*(PTDG!K7:PTDG!K119)),3)</f>
        <v>24102</v>
      </c>
      <c r="J10" s="65">
        <f>ROUND(F10*I10*H10,0)</f>
        <v>37358100</v>
      </c>
    </row>
    <row r="11" spans="1:10" ht="15.75" hidden="1">
      <c r="A11" s="69" t="s">
        <v>159</v>
      </c>
      <c r="B11" s="69"/>
      <c r="C11" s="69"/>
      <c r="D11" s="69"/>
      <c r="E11" s="69"/>
      <c r="F11" s="69"/>
      <c r="G11" s="69"/>
      <c r="H11" s="69"/>
      <c r="I11" s="69"/>
      <c r="J11" s="70">
        <f>SUM(J7:J10)</f>
        <v>76797720</v>
      </c>
    </row>
  </sheetData>
  <sheetProtection/>
  <mergeCells count="4">
    <mergeCell ref="A1:F1"/>
    <mergeCell ref="A2:F2"/>
    <mergeCell ref="A3:F3"/>
    <mergeCell ref="A11:I11"/>
  </mergeCells>
  <printOptions horizontalCentered="1"/>
  <pageMargins left="0.25" right="0.25" top="0.4" bottom="0.5" header="0.5" footer="0.25"/>
  <pageSetup horizontalDpi="300" verticalDpi="3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9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7109375" style="22" customWidth="1"/>
    <col min="2" max="2" width="40.7109375" style="22" customWidth="1"/>
    <col min="3" max="3" width="10.7109375" style="22" customWidth="1"/>
    <col min="4" max="4" width="9.140625" style="22" customWidth="1"/>
    <col min="5" max="5" width="14.7109375" style="22" hidden="1" customWidth="1"/>
    <col min="6" max="7" width="0" style="22" hidden="1" customWidth="1"/>
    <col min="8" max="8" width="15.7109375" style="22" hidden="1" customWidth="1"/>
    <col min="9" max="9" width="0" style="22" hidden="1" customWidth="1"/>
    <col min="10" max="16384" width="9.140625" style="22" customWidth="1"/>
  </cols>
  <sheetData>
    <row r="1" spans="1:8" ht="22.5">
      <c r="A1" s="23" t="str">
        <f>Info!C6</f>
        <v>BẢNG LƯƠNG NHÂN CÔNG</v>
      </c>
      <c r="B1" s="23"/>
      <c r="C1" s="23"/>
      <c r="D1" s="23"/>
      <c r="E1" s="23"/>
      <c r="F1" s="23"/>
      <c r="G1" s="23"/>
      <c r="H1" s="23"/>
    </row>
    <row r="2" spans="1:8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</row>
    <row r="3" spans="1:8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</row>
    <row r="4" ht="15.75">
      <c r="I4" s="22">
        <v>1</v>
      </c>
    </row>
    <row r="5" spans="1:8" ht="47.25">
      <c r="A5" s="47" t="s">
        <v>105</v>
      </c>
      <c r="B5" s="47" t="s">
        <v>160</v>
      </c>
      <c r="C5" s="47" t="s">
        <v>161</v>
      </c>
      <c r="D5" s="47" t="s">
        <v>162</v>
      </c>
      <c r="E5" s="47"/>
      <c r="F5" s="47" t="s">
        <v>115</v>
      </c>
      <c r="G5" s="47" t="s">
        <v>77</v>
      </c>
      <c r="H5" s="47" t="s">
        <v>146</v>
      </c>
    </row>
    <row r="6" spans="1:8" ht="15.75">
      <c r="A6" s="37" t="s">
        <v>118</v>
      </c>
      <c r="B6" s="37" t="s">
        <v>119</v>
      </c>
      <c r="C6" s="37" t="s">
        <v>120</v>
      </c>
      <c r="D6" s="37" t="s">
        <v>121</v>
      </c>
      <c r="E6" s="37"/>
      <c r="F6" s="37" t="s">
        <v>122</v>
      </c>
      <c r="G6" s="37" t="s">
        <v>123</v>
      </c>
      <c r="H6" s="37" t="s">
        <v>163</v>
      </c>
    </row>
    <row r="7" spans="1:8" ht="15.75">
      <c r="A7" s="48">
        <v>1</v>
      </c>
      <c r="B7" s="49" t="s">
        <v>164</v>
      </c>
      <c r="C7" s="50" t="s">
        <v>165</v>
      </c>
      <c r="D7" s="71">
        <v>36422</v>
      </c>
      <c r="E7" s="52" t="s">
        <v>166</v>
      </c>
      <c r="F7" s="54">
        <f>ROUND(SUMPRODUCT((PTDG!C7:PTDG!C119=B7)*(PTDG!I7:PTDG!I119=E7)*(PTDG!K7:PTDG!K119)),3)</f>
        <v>232.4</v>
      </c>
      <c r="G7" s="53">
        <f>$I$4</f>
        <v>1</v>
      </c>
      <c r="H7" s="51">
        <f>ROUND(D7*F7*G7,0)</f>
        <v>8464473</v>
      </c>
    </row>
    <row r="8" spans="1:8" ht="15.75">
      <c r="A8" s="62">
        <v>2</v>
      </c>
      <c r="B8" s="63" t="s">
        <v>167</v>
      </c>
      <c r="C8" s="64" t="s">
        <v>168</v>
      </c>
      <c r="D8" s="73">
        <v>50000</v>
      </c>
      <c r="E8" s="66" t="s">
        <v>169</v>
      </c>
      <c r="F8" s="68">
        <f>ROUND(SUMPRODUCT((PTDG!C7:PTDG!C119=B8)*(PTDG!I7:PTDG!I119=E8)*(PTDG!K7:PTDG!K119)),3)</f>
        <v>5</v>
      </c>
      <c r="G8" s="67">
        <f>$I$4</f>
        <v>1</v>
      </c>
      <c r="H8" s="65">
        <f>ROUND(D8*F8*G8,0)</f>
        <v>250000</v>
      </c>
    </row>
    <row r="9" spans="1:8" ht="15.75" hidden="1">
      <c r="A9" s="69" t="s">
        <v>159</v>
      </c>
      <c r="B9" s="69"/>
      <c r="C9" s="69"/>
      <c r="D9" s="69"/>
      <c r="E9" s="69"/>
      <c r="F9" s="69"/>
      <c r="G9" s="29"/>
      <c r="H9" s="70">
        <f>SUM(H7:H8)</f>
        <v>8714473</v>
      </c>
    </row>
  </sheetData>
  <sheetProtection/>
  <mergeCells count="4">
    <mergeCell ref="A1:H1"/>
    <mergeCell ref="A2:H2"/>
    <mergeCell ref="A3:H3"/>
    <mergeCell ref="A9:F9"/>
  </mergeCells>
  <printOptions horizontalCentered="1"/>
  <pageMargins left="0.25" right="0.25" top="0.4" bottom="0.5" header="0.5" footer="0.25"/>
  <pageSetup horizontalDpi="300" verticalDpi="3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M11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7109375" style="22" customWidth="1"/>
    <col min="2" max="2" width="26.7109375" style="22" customWidth="1"/>
    <col min="3" max="3" width="7.7109375" style="22" customWidth="1"/>
    <col min="4" max="4" width="10.7109375" style="22" customWidth="1"/>
    <col min="5" max="7" width="12.7109375" style="22" customWidth="1"/>
    <col min="8" max="8" width="12.7109375" style="22" hidden="1" customWidth="1"/>
    <col min="9" max="9" width="12.7109375" style="22" customWidth="1"/>
    <col min="10" max="10" width="11.7109375" style="22" hidden="1" customWidth="1"/>
    <col min="11" max="11" width="0" style="22" hidden="1" customWidth="1"/>
    <col min="12" max="12" width="20.7109375" style="22" hidden="1" customWidth="1"/>
    <col min="13" max="13" width="0" style="22" hidden="1" customWidth="1"/>
    <col min="14" max="16384" width="9.140625" style="22" customWidth="1"/>
  </cols>
  <sheetData>
    <row r="1" spans="1:9" ht="22.5">
      <c r="A1" s="23" t="str">
        <f>Info!B7</f>
        <v>BẢNG GIÁ CA MÁY VÀ THIẾT BỊ THI CÔNG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  <c r="I2" s="24"/>
    </row>
    <row r="3" spans="1:9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  <c r="I3" s="24"/>
    </row>
    <row r="4" ht="15.75">
      <c r="M4" s="22">
        <v>1</v>
      </c>
    </row>
    <row r="5" spans="1:12" ht="31.5">
      <c r="A5" s="36" t="s">
        <v>105</v>
      </c>
      <c r="B5" s="36" t="s">
        <v>170</v>
      </c>
      <c r="C5" s="36" t="s">
        <v>114</v>
      </c>
      <c r="D5" s="36" t="s">
        <v>115</v>
      </c>
      <c r="E5" s="36" t="s">
        <v>178</v>
      </c>
      <c r="F5" s="36" t="s">
        <v>194</v>
      </c>
      <c r="G5" s="36" t="s">
        <v>195</v>
      </c>
      <c r="H5" s="36" t="s">
        <v>196</v>
      </c>
      <c r="I5" s="36" t="s">
        <v>197</v>
      </c>
      <c r="J5" s="36"/>
      <c r="K5" s="36" t="s">
        <v>77</v>
      </c>
      <c r="L5" s="36" t="s">
        <v>146</v>
      </c>
    </row>
    <row r="6" spans="1:12" ht="15.75">
      <c r="A6" s="37" t="s">
        <v>118</v>
      </c>
      <c r="B6" s="37" t="s">
        <v>119</v>
      </c>
      <c r="C6" s="37" t="s">
        <v>120</v>
      </c>
      <c r="D6" s="37" t="s">
        <v>121</v>
      </c>
      <c r="E6" s="37" t="s">
        <v>122</v>
      </c>
      <c r="F6" s="37" t="s">
        <v>123</v>
      </c>
      <c r="G6" s="37" t="s">
        <v>124</v>
      </c>
      <c r="H6" s="37" t="s">
        <v>124</v>
      </c>
      <c r="I6" s="37" t="s">
        <v>125</v>
      </c>
      <c r="J6" s="37"/>
      <c r="K6" s="37" t="s">
        <v>126</v>
      </c>
      <c r="L6" s="37" t="s">
        <v>198</v>
      </c>
    </row>
    <row r="7" spans="1:12" ht="15.75">
      <c r="A7" s="48">
        <v>1</v>
      </c>
      <c r="B7" s="49" t="s">
        <v>189</v>
      </c>
      <c r="C7" s="50" t="s">
        <v>190</v>
      </c>
      <c r="D7" s="78">
        <f>ROUND(SUMPRODUCT((PTDG!C7:PTDG!C119=B7)*(PTDG!I7:PTDG!I119=J7)*(PTDG!K7:PTDG!K119)),3)</f>
        <v>10.68</v>
      </c>
      <c r="E7" s="71">
        <v>50069</v>
      </c>
      <c r="F7" s="52">
        <f>BuNL!$G$18</f>
        <v>1</v>
      </c>
      <c r="G7" s="71">
        <f>SUMPRODUCT((BuNL!B8:BuNL!B9=$B$7)*(BuNL!P8:BuNL!P9=$J$7)*(BuNL!N8:BuNL!N9))</f>
        <v>0</v>
      </c>
      <c r="H7" s="71"/>
      <c r="I7" s="71">
        <f>ROUND(E7*IF(F7=0,1,F7)+G7,0)</f>
        <v>50069</v>
      </c>
      <c r="J7" s="52" t="s">
        <v>191</v>
      </c>
      <c r="K7" s="53">
        <f>$M$4</f>
        <v>1</v>
      </c>
      <c r="L7" s="51">
        <f>ROUND(I7*D7*K7,0)</f>
        <v>534737</v>
      </c>
    </row>
    <row r="8" spans="1:12" ht="15.75">
      <c r="A8" s="62">
        <v>2</v>
      </c>
      <c r="B8" s="63" t="s">
        <v>192</v>
      </c>
      <c r="C8" s="64" t="s">
        <v>190</v>
      </c>
      <c r="D8" s="79">
        <f>ROUND(SUMPRODUCT((PTDG!C7:PTDG!C119=B8)*(PTDG!I7:PTDG!I119=J8)*(PTDG!K7:PTDG!K119)),3)</f>
        <v>11.4</v>
      </c>
      <c r="E8" s="73">
        <v>134780</v>
      </c>
      <c r="F8" s="66">
        <f>BuNL!$G$18</f>
        <v>1</v>
      </c>
      <c r="G8" s="73">
        <f>SUMPRODUCT((BuNL!B8:BuNL!B9=$B$8)*(BuNL!P8:BuNL!P9=$J$8)*(BuNL!N8:BuNL!N9))</f>
        <v>0</v>
      </c>
      <c r="H8" s="73"/>
      <c r="I8" s="73">
        <f>ROUND(E8*IF(F8=0,1,F8)+G8,0)</f>
        <v>134780</v>
      </c>
      <c r="J8" s="66" t="s">
        <v>193</v>
      </c>
      <c r="K8" s="67">
        <f>$M$4</f>
        <v>1</v>
      </c>
      <c r="L8" s="65">
        <f>ROUND(I8*D8*K8,0)</f>
        <v>1536492</v>
      </c>
    </row>
    <row r="9" spans="1:12" ht="15.75" hidden="1">
      <c r="A9" s="69" t="s">
        <v>159</v>
      </c>
      <c r="B9" s="69"/>
      <c r="C9" s="69"/>
      <c r="D9" s="69"/>
      <c r="E9" s="69"/>
      <c r="F9" s="69"/>
      <c r="G9" s="69"/>
      <c r="H9" s="69"/>
      <c r="I9" s="69"/>
      <c r="J9" s="29"/>
      <c r="K9" s="29"/>
      <c r="L9" s="70">
        <f>SUM(L7:L8)</f>
        <v>2071229</v>
      </c>
    </row>
    <row r="10" ht="15.75">
      <c r="A10" s="44" t="s">
        <v>199</v>
      </c>
    </row>
    <row r="11" ht="15.75">
      <c r="A11" s="22" t="s">
        <v>200</v>
      </c>
    </row>
  </sheetData>
  <mergeCells count="4">
    <mergeCell ref="A1:I1"/>
    <mergeCell ref="A2:I2"/>
    <mergeCell ref="A3:I3"/>
    <mergeCell ref="A9:I9"/>
  </mergeCells>
  <printOptions horizontalCentered="1"/>
  <pageMargins left="0" right="0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P18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22" customWidth="1"/>
    <col min="2" max="2" width="22.7109375" style="22" customWidth="1"/>
    <col min="3" max="3" width="7.7109375" style="22" customWidth="1"/>
    <col min="4" max="4" width="9.7109375" style="22" customWidth="1"/>
    <col min="5" max="12" width="7.7109375" style="22" customWidth="1"/>
    <col min="13" max="15" width="12.7109375" style="22" customWidth="1"/>
    <col min="16" max="16" width="0" style="22" hidden="1" customWidth="1"/>
    <col min="17" max="16384" width="9.140625" style="22" customWidth="1"/>
  </cols>
  <sheetData>
    <row r="1" spans="1:15" ht="22.5">
      <c r="A1" s="23" t="str">
        <f>Info!C7</f>
        <v>TỔNG HỢP CA MÁY - BÙ CHÊNH LỆCH NHIÊN LIỆU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>
      <c r="A2" s="24" t="str">
        <f>"CÔNG TRÌNH: "&amp;Info!B1</f>
        <v>CÔNG TRÌNH: ĐƠN GIÁ XÂY DỰNG CÔNG TRÌNH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24" t="str">
        <f>"HẠNG MỤC: "&amp;Info!B2</f>
        <v>HẠNG MỤC: XÂY DỰNG MỚI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1:15" ht="15.75">
      <c r="A5" s="74" t="s">
        <v>105</v>
      </c>
      <c r="B5" s="74" t="s">
        <v>170</v>
      </c>
      <c r="C5" s="74" t="s">
        <v>114</v>
      </c>
      <c r="D5" s="74" t="s">
        <v>115</v>
      </c>
      <c r="E5" s="74" t="s">
        <v>171</v>
      </c>
      <c r="F5" s="74"/>
      <c r="G5" s="74"/>
      <c r="H5" s="74"/>
      <c r="I5" s="74" t="s">
        <v>176</v>
      </c>
      <c r="J5" s="74"/>
      <c r="K5" s="74"/>
      <c r="L5" s="74"/>
      <c r="M5" s="74" t="s">
        <v>178</v>
      </c>
      <c r="N5" s="74" t="s">
        <v>180</v>
      </c>
      <c r="O5" s="74" t="s">
        <v>182</v>
      </c>
    </row>
    <row r="6" spans="1:15" ht="15.75">
      <c r="A6" s="74"/>
      <c r="B6" s="74"/>
      <c r="C6" s="74"/>
      <c r="D6" s="74"/>
      <c r="E6" s="36" t="s">
        <v>172</v>
      </c>
      <c r="F6" s="36" t="s">
        <v>173</v>
      </c>
      <c r="G6" s="36" t="s">
        <v>174</v>
      </c>
      <c r="H6" s="36" t="s">
        <v>175</v>
      </c>
      <c r="I6" s="36" t="s">
        <v>172</v>
      </c>
      <c r="J6" s="36" t="s">
        <v>173</v>
      </c>
      <c r="K6" s="36" t="s">
        <v>174</v>
      </c>
      <c r="L6" s="36" t="s">
        <v>175</v>
      </c>
      <c r="M6" s="74"/>
      <c r="N6" s="74"/>
      <c r="O6" s="74"/>
    </row>
    <row r="7" spans="1:15" ht="15.75">
      <c r="A7" s="37" t="s">
        <v>118</v>
      </c>
      <c r="B7" s="37" t="s">
        <v>119</v>
      </c>
      <c r="C7" s="37" t="s">
        <v>120</v>
      </c>
      <c r="D7" s="37" t="s">
        <v>121</v>
      </c>
      <c r="E7" s="37" t="s">
        <v>122</v>
      </c>
      <c r="F7" s="37" t="s">
        <v>123</v>
      </c>
      <c r="G7" s="37" t="s">
        <v>124</v>
      </c>
      <c r="H7" s="37" t="s">
        <v>125</v>
      </c>
      <c r="I7" s="37" t="s">
        <v>126</v>
      </c>
      <c r="J7" s="37" t="s">
        <v>127</v>
      </c>
      <c r="K7" s="37" t="s">
        <v>128</v>
      </c>
      <c r="L7" s="37" t="s">
        <v>177</v>
      </c>
      <c r="M7" s="37" t="s">
        <v>179</v>
      </c>
      <c r="N7" s="37" t="s">
        <v>181</v>
      </c>
      <c r="O7" s="37" t="s">
        <v>183</v>
      </c>
    </row>
    <row r="8" spans="1:16" ht="15.75">
      <c r="A8" s="48">
        <v>1</v>
      </c>
      <c r="B8" s="49" t="s">
        <v>189</v>
      </c>
      <c r="C8" s="50" t="s">
        <v>190</v>
      </c>
      <c r="D8" s="80">
        <f>SUMPRODUCT((MAY!B7:MAY!B8=$B$8)*(MAY!J7:MAY!J8=$P$8)*(MAY!D7:MAY!D8))</f>
        <v>10.68</v>
      </c>
      <c r="E8" s="81">
        <v>0</v>
      </c>
      <c r="F8" s="81">
        <v>0</v>
      </c>
      <c r="G8" s="81">
        <v>4.5</v>
      </c>
      <c r="H8" s="81">
        <v>0</v>
      </c>
      <c r="I8" s="81">
        <f>D8*E8</f>
        <v>0</v>
      </c>
      <c r="J8" s="81">
        <f>D8*F8</f>
        <v>0</v>
      </c>
      <c r="K8" s="81">
        <f>D8*G8</f>
        <v>48.06</v>
      </c>
      <c r="L8" s="81">
        <f>D8*H8</f>
        <v>0</v>
      </c>
      <c r="M8" s="82">
        <v>50069</v>
      </c>
      <c r="N8" s="82">
        <f>E8*($F$14-$B$14)*(1+$C$18)+F8*($G$14-$C$14)*(1+$D$18)+G8*($H$14-$D$14)*(1+$E$18)+H8*($I$14-$E$14)*(1+$F$18)</f>
        <v>0</v>
      </c>
      <c r="O8" s="52">
        <v>305</v>
      </c>
      <c r="P8" s="22" t="s">
        <v>191</v>
      </c>
    </row>
    <row r="9" spans="1:16" ht="15.75">
      <c r="A9" s="62">
        <v>2</v>
      </c>
      <c r="B9" s="63" t="s">
        <v>192</v>
      </c>
      <c r="C9" s="64" t="s">
        <v>190</v>
      </c>
      <c r="D9" s="83">
        <f>SUMPRODUCT((MAY!B7:MAY!B8=$B$9)*(MAY!J7:MAY!J8=$P$9)*(MAY!D7:MAY!D8))</f>
        <v>11.4</v>
      </c>
      <c r="E9" s="84">
        <v>0</v>
      </c>
      <c r="F9" s="84">
        <v>0</v>
      </c>
      <c r="G9" s="84">
        <v>10.8</v>
      </c>
      <c r="H9" s="84">
        <v>0</v>
      </c>
      <c r="I9" s="84">
        <f>D9*E9</f>
        <v>0</v>
      </c>
      <c r="J9" s="84">
        <f>D9*F9</f>
        <v>0</v>
      </c>
      <c r="K9" s="84">
        <f>D9*G9</f>
        <v>123.12</v>
      </c>
      <c r="L9" s="84">
        <f>D9*H9</f>
        <v>0</v>
      </c>
      <c r="M9" s="85">
        <v>134780</v>
      </c>
      <c r="N9" s="85">
        <f>E9*($F$14-$B$14)*(1+$C$18)+F9*($G$14-$C$14)*(1+$D$18)+G9*($H$14-$D$14)*(1+$E$18)+H9*($I$14-$E$14)*(1+$F$18)</f>
        <v>0</v>
      </c>
      <c r="O9" s="66">
        <v>270</v>
      </c>
      <c r="P9" s="22" t="s">
        <v>193</v>
      </c>
    </row>
    <row r="11" spans="1:13" ht="15.75">
      <c r="A11" s="46"/>
      <c r="B11" s="74" t="s">
        <v>178</v>
      </c>
      <c r="C11" s="74"/>
      <c r="D11" s="74"/>
      <c r="E11" s="74"/>
      <c r="F11" s="74" t="str">
        <f>" Giá T"&amp;Info!B39&amp;"/"&amp;Info!B40</f>
        <v> Giá T11/2013</v>
      </c>
      <c r="G11" s="74"/>
      <c r="H11" s="74"/>
      <c r="I11" s="74"/>
      <c r="J11" s="74" t="s">
        <v>184</v>
      </c>
      <c r="K11" s="74"/>
      <c r="L11" s="74"/>
      <c r="M11" s="74"/>
    </row>
    <row r="12" spans="1:13" ht="15.75">
      <c r="A12" s="46"/>
      <c r="B12" s="47" t="s">
        <v>172</v>
      </c>
      <c r="C12" s="47" t="s">
        <v>173</v>
      </c>
      <c r="D12" s="47" t="s">
        <v>174</v>
      </c>
      <c r="E12" s="47" t="s">
        <v>175</v>
      </c>
      <c r="F12" s="47" t="s">
        <v>172</v>
      </c>
      <c r="G12" s="47" t="s">
        <v>173</v>
      </c>
      <c r="H12" s="47" t="s">
        <v>174</v>
      </c>
      <c r="I12" s="47" t="s">
        <v>175</v>
      </c>
      <c r="J12" s="47" t="s">
        <v>172</v>
      </c>
      <c r="K12" s="47" t="s">
        <v>173</v>
      </c>
      <c r="L12" s="47" t="s">
        <v>174</v>
      </c>
      <c r="M12" s="47" t="s">
        <v>175</v>
      </c>
    </row>
    <row r="13" spans="1:13" ht="15.75">
      <c r="A13" s="46"/>
      <c r="B13" s="39" t="s">
        <v>185</v>
      </c>
      <c r="C13" s="39" t="s">
        <v>185</v>
      </c>
      <c r="D13" s="39" t="s">
        <v>186</v>
      </c>
      <c r="E13" s="39" t="s">
        <v>185</v>
      </c>
      <c r="F13" s="39" t="s">
        <v>185</v>
      </c>
      <c r="G13" s="39" t="s">
        <v>185</v>
      </c>
      <c r="H13" s="39" t="s">
        <v>186</v>
      </c>
      <c r="I13" s="39" t="s">
        <v>185</v>
      </c>
      <c r="J13" s="39" t="s">
        <v>185</v>
      </c>
      <c r="K13" s="39" t="s">
        <v>185</v>
      </c>
      <c r="L13" s="39" t="s">
        <v>186</v>
      </c>
      <c r="M13" s="39" t="s">
        <v>185</v>
      </c>
    </row>
    <row r="14" spans="2:13" ht="15.75"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>F14-B14</f>
        <v>0</v>
      </c>
      <c r="K14" s="76">
        <f>G14-C14</f>
        <v>0</v>
      </c>
      <c r="L14" s="76">
        <f>H14-D14</f>
        <v>0</v>
      </c>
      <c r="M14" s="76">
        <f>I14-E14</f>
        <v>0</v>
      </c>
    </row>
    <row r="16" spans="3:8" ht="15.75">
      <c r="C16" s="74" t="s">
        <v>187</v>
      </c>
      <c r="D16" s="74"/>
      <c r="E16" s="74"/>
      <c r="F16" s="30"/>
      <c r="G16" s="30" t="s">
        <v>188</v>
      </c>
      <c r="H16" s="30"/>
    </row>
    <row r="17" spans="3:8" ht="15.75">
      <c r="C17" s="36" t="s">
        <v>172</v>
      </c>
      <c r="D17" s="36" t="s">
        <v>173</v>
      </c>
      <c r="E17" s="36" t="s">
        <v>174</v>
      </c>
      <c r="F17" s="25" t="s">
        <v>175</v>
      </c>
      <c r="G17" s="30"/>
      <c r="H17" s="30"/>
    </row>
    <row r="18" spans="3:8" ht="15.75">
      <c r="C18" s="29">
        <v>0.05</v>
      </c>
      <c r="D18" s="29">
        <v>0.03</v>
      </c>
      <c r="E18" s="29">
        <v>0.07</v>
      </c>
      <c r="F18" s="29">
        <v>0</v>
      </c>
      <c r="G18" s="77">
        <v>1</v>
      </c>
      <c r="H18" s="77"/>
    </row>
  </sheetData>
  <sheetProtection/>
  <mergeCells count="18">
    <mergeCell ref="C16:F16"/>
    <mergeCell ref="G16:H17"/>
    <mergeCell ref="G18:H18"/>
    <mergeCell ref="N5:N6"/>
    <mergeCell ref="O5:O6"/>
    <mergeCell ref="B11:E11"/>
    <mergeCell ref="F11:I11"/>
    <mergeCell ref="J11:M11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M6"/>
  </mergeCells>
  <printOptions horizontalCentered="1"/>
  <pageMargins left="0" right="0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Vunt</Manager>
  <Company>Quyet Toan Co.,Ltd * Tel: 0918224540 * Fax: (08)3 9691504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 TOAN - DON GIA TONG HOP DAY DU 3 THANH PHAN</dc:title>
  <dc:subject>ADTPro Version 8.5.72 (2014)</dc:subject>
  <dc:creator>VHM</dc:creator>
  <cp:keywords>Du toan, Du thau, ADTPro</cp:keywords>
  <dc:description>ADTPro Version 8.5.72 (2014) - Phan mem Lap du toan, du thau chuyen nghiep, tien ich, than thien</dc:description>
  <cp:lastModifiedBy>Vunt</cp:lastModifiedBy>
  <cp:lastPrinted>2006-11-27T15:01:16Z</cp:lastPrinted>
  <dcterms:created xsi:type="dcterms:W3CDTF">2004-11-26T06:40:11Z</dcterms:created>
  <dcterms:modified xsi:type="dcterms:W3CDTF">2014-04-26T06:33:50Z</dcterms:modified>
  <cp:category>www.quyettoan.vn  -  www.dutoan.com.vn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Conn">
    <vt:lpwstr>D:\Projects\Products\Release6.0\ADTPro 8.5.72.mdb</vt:lpwstr>
  </property>
  <property fmtid="{D5CDD505-2E9C-101B-9397-08002B2CF9AE}" pid="3" name="Where">
    <vt:lpwstr>0</vt:lpwstr>
  </property>
  <property fmtid="{D5CDD505-2E9C-101B-9397-08002B2CF9AE}" pid="4" name="Where1">
    <vt:lpwstr>CT001</vt:lpwstr>
  </property>
  <property fmtid="{D5CDD505-2E9C-101B-9397-08002B2CF9AE}" pid="5" name="Where2">
    <vt:lpwstr>ĐƠN GIÁ XÂY DỰNG CÔNG TRÌNH</vt:lpwstr>
  </property>
  <property fmtid="{D5CDD505-2E9C-101B-9397-08002B2CF9AE}" pid="6" name="Where4">
    <vt:lpwstr/>
  </property>
  <property fmtid="{D5CDD505-2E9C-101B-9397-08002B2CF9AE}" pid="7" name="Where3">
    <vt:lpwstr>Xây dựng mới</vt:lpwstr>
  </property>
  <property fmtid="{D5CDD505-2E9C-101B-9397-08002B2CF9AE}" pid="8" name="Where5">
    <vt:lpwstr>-1</vt:lpwstr>
  </property>
  <property fmtid="{D5CDD505-2E9C-101B-9397-08002B2CF9AE}" pid="9" name="Where6">
    <vt:lpwstr>3</vt:lpwstr>
  </property>
  <property fmtid="{D5CDD505-2E9C-101B-9397-08002B2CF9AE}" pid="10" name="Where7">
    <vt:lpwstr>3</vt:lpwstr>
  </property>
  <property fmtid="{D5CDD505-2E9C-101B-9397-08002B2CF9AE}" pid="11" name="Where8">
    <vt:lpwstr>-1</vt:lpwstr>
  </property>
  <property fmtid="{D5CDD505-2E9C-101B-9397-08002B2CF9AE}" pid="12" name="Where9">
    <vt:lpwstr>True</vt:lpwstr>
  </property>
  <property fmtid="{D5CDD505-2E9C-101B-9397-08002B2CF9AE}" pid="13" name="Where10">
    <vt:lpwstr>True</vt:lpwstr>
  </property>
  <property fmtid="{D5CDD505-2E9C-101B-9397-08002B2CF9AE}" pid="14" name="Where11">
    <vt:lpwstr>True</vt:lpwstr>
  </property>
  <property fmtid="{D5CDD505-2E9C-101B-9397-08002B2CF9AE}" pid="15" name="Where12">
    <vt:lpwstr>False</vt:lpwstr>
  </property>
  <property fmtid="{D5CDD505-2E9C-101B-9397-08002B2CF9AE}" pid="16" name="Where13">
    <vt:lpwstr>D:\Projects\Products\Release6.0\Report\info.xml</vt:lpwstr>
  </property>
  <property fmtid="{D5CDD505-2E9C-101B-9397-08002B2CF9AE}" pid="17" name="Version">
    <vt:lpwstr>ADTPro Version 8.5.72 (2014)</vt:lpwstr>
  </property>
  <property fmtid="{D5CDD505-2E9C-101B-9397-08002B2CF9AE}" pid="18" name="DecimalInfo">
    <vt:lpwstr>.</vt:lpwstr>
  </property>
  <property fmtid="{D5CDD505-2E9C-101B-9397-08002B2CF9AE}" pid="19" name="SheetsCount">
    <vt:lpwstr>0</vt:lpwstr>
  </property>
</Properties>
</file>