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firstSheet="1" activeTab="16"/>
  </bookViews>
  <sheets>
    <sheet name="Data" sheetId="1" state="hidden" r:id="rId1"/>
    <sheet name="BANG KHOI LUONG" sheetId="2" r:id="rId2"/>
    <sheet name="PTDG" sheetId="3" r:id="rId3"/>
    <sheet name="VL" sheetId="4" r:id="rId4"/>
    <sheet name="NC" sheetId="5" r:id="rId5"/>
    <sheet name="LUONGNC" sheetId="6" state="hidden" r:id="rId6"/>
    <sheet name="MAY" sheetId="7" r:id="rId7"/>
    <sheet name="BuNL" sheetId="8" r:id="rId8"/>
    <sheet name="BuNCLM" sheetId="9" state="hidden" r:id="rId9"/>
    <sheet name="LUONGNCLM" sheetId="10" state="hidden" r:id="rId10"/>
    <sheet name="PT Vua" sheetId="11" state="hidden" r:id="rId11"/>
    <sheet name="THKL" sheetId="12" state="hidden" r:id="rId12"/>
    <sheet name="TB" sheetId="13" state="hidden" r:id="rId13"/>
    <sheet name="THKP" sheetId="14" r:id="rId14"/>
    <sheet name="THDT" sheetId="15" r:id="rId15"/>
    <sheet name="Bia1" sheetId="16" r:id="rId16"/>
    <sheet name="Bia2" sheetId="17" r:id="rId17"/>
    <sheet name="TM" sheetId="18" state="hidden" r:id="rId18"/>
    <sheet name="Info" sheetId="19" state="hidden" r:id="rId19"/>
  </sheets>
  <definedNames>
    <definedName name="_xlnm.Print_Titles" localSheetId="1">'BANG KHOI LUONG'!$7:$7</definedName>
    <definedName name="_xlnm.Print_Titles" localSheetId="15">'Bia1'!$6:$6</definedName>
    <definedName name="_xlnm.Print_Titles" localSheetId="16">'Bia2'!$6:$6</definedName>
    <definedName name="_xlnm.Print_Titles" localSheetId="7">'BuNL'!$7:$7</definedName>
    <definedName name="_xlnm.Print_Titles" localSheetId="6">'MAY'!$7:$7</definedName>
    <definedName name="_xlnm.Print_Titles" localSheetId="4">'NC'!$6:$6</definedName>
    <definedName name="_xlnm.Print_Titles" localSheetId="2">'PTDG'!$6:$6</definedName>
    <definedName name="_xlnm.Print_Titles" localSheetId="3">'VL'!$6:$6</definedName>
  </definedNames>
  <calcPr fullCalcOnLoad="1" fullPrecision="0" iterate="1" iterateCount="100" iterateDelta="0.001"/>
</workbook>
</file>

<file path=xl/comments18.xml><?xml version="1.0" encoding="utf-8"?>
<comments xmlns="http://schemas.openxmlformats.org/spreadsheetml/2006/main">
  <authors>
    <author>VitBup</author>
  </authors>
  <commentList>
    <comment ref="A1" authorId="0">
      <text>
        <r>
          <rPr>
            <sz val="8"/>
            <rFont val="Tahoma"/>
            <family val="2"/>
          </rPr>
          <t>TM</t>
        </r>
      </text>
    </comment>
  </commentList>
</comments>
</file>

<file path=xl/sharedStrings.xml><?xml version="1.0" encoding="utf-8"?>
<sst xmlns="http://schemas.openxmlformats.org/spreadsheetml/2006/main" count="636" uniqueCount="385">
  <si>
    <t>---------------</t>
  </si>
  <si>
    <t>----------------------</t>
  </si>
  <si>
    <t>Số : ……./…….</t>
  </si>
  <si>
    <t>I.</t>
  </si>
  <si>
    <t>II.</t>
  </si>
  <si>
    <t>CỘNG HOÀ XÃ HỘI CHỦ NGHĨA VIỆT NAM</t>
  </si>
  <si>
    <t>Độc lập - Tự do - Hạnh phúc</t>
  </si>
  <si>
    <t>THUYẾT MINH LẬP DỰ TOÁN</t>
  </si>
  <si>
    <t>CƠ SỞ LẬP DỰ TOÁN:</t>
  </si>
  <si>
    <t xml:space="preserve"> - Căn cứ vào khối lượng bảng vẽ thiết kế</t>
  </si>
  <si>
    <t xml:space="preserve"> - Căn cứ vào các thông tư định mức, đơn giá của Nhà nước và địa phương ban hành.</t>
  </si>
  <si>
    <t>Định mức:</t>
  </si>
  <si>
    <t>- Áp dụng định mức dự toán XDCT phần xây dựng ban hành kèm theo quyết định số 24/2005/QĐ-BXD ngày 29/07/2005 của Bộ Xây dựng</t>
  </si>
  <si>
    <t>- Áp dụng định mức dự toán XDCT phần xây dựng ban hành kèm theo quyết định số 33/2005/QĐ-BXD ngày 04/10/2005 của Bộ Xây dựng</t>
  </si>
  <si>
    <t>Đơn giá áp dụng:</t>
  </si>
  <si>
    <t>- Đơn giá xây dựng công trình phần xây dựng ban hành kèm theo quyết định số .../2006/QĐ-UBND  ngày .../.../2006 của UBND tỉnh …</t>
  </si>
  <si>
    <t>- Đơn giá xây dựng công trình phần lắp đặt ban hành kèm theo quyết định số .../2006/QĐ-UBND  ngày .../.../2006 của UBND tỉnh …</t>
  </si>
  <si>
    <t>Phụ phí xây dựng:</t>
  </si>
  <si>
    <t>- Thông tư số 05/2007/TT-BXD ngày 25/07/2007 của Bộ Xây dựng về việc hướng dẫn lập và quản lý chi phí đầu tư xây dựng công trình</t>
  </si>
  <si>
    <t>- Thông báo giá vật tư  Quý /2007 của liên Sở Tài chính - Sở Xây dựng tỉnh</t>
  </si>
  <si>
    <t>- Thông tư số 120/2003/TT-BTC ngày 12/12/2003 hướng dẫn thi hành Nghị định số 158/2003/NĐ-CP ngày 10/12/2003 của Chính phủ quy định chi tiết thi hành Luật thuế giá trị gia tăng và Luật sửa đổi, bổ sung một số điều của Luật thuế giá trị gia tăng.</t>
  </si>
  <si>
    <t>GIÁ TRỊ DỰ TOÁN:</t>
  </si>
  <si>
    <t>đồng (đã bao gồm cả VAT)</t>
  </si>
  <si>
    <t>Làm tròn:</t>
  </si>
  <si>
    <t>đồng</t>
  </si>
  <si>
    <t>Thuyết minh</t>
  </si>
  <si>
    <t>KT Giám đốc</t>
  </si>
  <si>
    <t>Phó Giám đốc</t>
  </si>
  <si>
    <t>Tên công trình</t>
  </si>
  <si>
    <t>Tên hạng mục</t>
  </si>
  <si>
    <t>Bảng khối lượng</t>
  </si>
  <si>
    <t>Bảng tổng hợp ca máy - Bù nhiên liệu</t>
  </si>
  <si>
    <t>Bảng tổng hợp kinh phí Hạng mục</t>
  </si>
  <si>
    <t>Có in Footer hay không</t>
  </si>
  <si>
    <t>Kiểu chữ hiển thị Footer</t>
  </si>
  <si>
    <t>Canh trái, phải hay giữa khi in Footer</t>
  </si>
  <si>
    <t>Hình thức hiển thị ĐVT</t>
  </si>
  <si>
    <t>Có in phân tích Nhân công không</t>
  </si>
  <si>
    <t>Có in phân tích Ca máy không</t>
  </si>
  <si>
    <t>Có in phân tích Vật liệu khác không</t>
  </si>
  <si>
    <t>Có in phân tích Ca máy khác không</t>
  </si>
  <si>
    <t>Có in Mã đơn giá trong Bảng tiên lượng không</t>
  </si>
  <si>
    <t>Căn cứ thực hiện bù cước vận chuyển</t>
  </si>
  <si>
    <t>Căn cứ thực hiện mua sắm thiết bị</t>
  </si>
  <si>
    <t>Tự động đổi ĐVT 100ĐV  ---&gt; 1ĐV</t>
  </si>
  <si>
    <t>LOẠI DỰ TOÁN  (0=Tính bù chênh lệch, 1=THVT và áp giá vật liệu, 2=phân tích đơn giá chi tiết)</t>
  </si>
  <si>
    <t>Có tính bù chênh lệch VLK hay không</t>
  </si>
  <si>
    <t>Không phân tích chi tiết Vữa</t>
  </si>
  <si>
    <t>Cơ quan chủ quản</t>
  </si>
  <si>
    <t>Địa danh</t>
  </si>
  <si>
    <t>Người kiểm</t>
  </si>
  <si>
    <t>Người tính</t>
  </si>
  <si>
    <t>Phòng chức danh</t>
  </si>
  <si>
    <t>Tên bảng</t>
  </si>
  <si>
    <t>Tên cơ quan</t>
  </si>
  <si>
    <t>Tên cơ quan đầu tư</t>
  </si>
  <si>
    <t>Tháng thông báo</t>
  </si>
  <si>
    <t>Năm thông báo</t>
  </si>
  <si>
    <t>Bảng phân tích đơn giá chi tiết</t>
  </si>
  <si>
    <t>Bảng giá vật liệu</t>
  </si>
  <si>
    <t>Bảng lương nhân công</t>
  </si>
  <si>
    <t>Bảng PT đơn giá Vữa</t>
  </si>
  <si>
    <t>Bảng dự toán hạng mục</t>
  </si>
  <si>
    <t>Mua sắm thiết bị</t>
  </si>
  <si>
    <t>1.</t>
  </si>
  <si>
    <t>2.</t>
  </si>
  <si>
    <t>3.</t>
  </si>
  <si>
    <t xml:space="preserve">- Áp dụng quyết định số 206/2004/QĐ-UB ngày 10/11/2004 của Uỷ ban Nhân dân tỉnh Lâm Đồng        </t>
  </si>
  <si>
    <t xml:space="preserve"> </t>
  </si>
  <si>
    <t>không</t>
  </si>
  <si>
    <t>mươi</t>
  </si>
  <si>
    <t>một mươi</t>
  </si>
  <si>
    <t>mười</t>
  </si>
  <si>
    <t>Số quá lớn</t>
  </si>
  <si>
    <t>một</t>
  </si>
  <si>
    <t>trăm</t>
  </si>
  <si>
    <t>không mươi</t>
  </si>
  <si>
    <t>lẻ</t>
  </si>
  <si>
    <t>Âm</t>
  </si>
  <si>
    <t>hai</t>
  </si>
  <si>
    <t>ngàn</t>
  </si>
  <si>
    <t>lẻ không</t>
  </si>
  <si>
    <t>ba</t>
  </si>
  <si>
    <t>mươi năm</t>
  </si>
  <si>
    <t>mươi lăm</t>
  </si>
  <si>
    <t>Bằng chữ:</t>
  </si>
  <si>
    <t>bốn</t>
  </si>
  <si>
    <t>mười năm</t>
  </si>
  <si>
    <t>mười lăm</t>
  </si>
  <si>
    <t>năm</t>
  </si>
  <si>
    <t>triệu</t>
  </si>
  <si>
    <t>mươi một</t>
  </si>
  <si>
    <t>mươi mốt</t>
  </si>
  <si>
    <t>sáu</t>
  </si>
  <si>
    <t>mười không</t>
  </si>
  <si>
    <t>bảy</t>
  </si>
  <si>
    <t>mươi không</t>
  </si>
  <si>
    <t>tám</t>
  </si>
  <si>
    <t>tỷ</t>
  </si>
  <si>
    <t>không trăm tỷ</t>
  </si>
  <si>
    <t>chín</t>
  </si>
  <si>
    <t>không trăm triệu</t>
  </si>
  <si>
    <t>không trăm ngàn</t>
  </si>
  <si>
    <t>không trăm</t>
  </si>
  <si>
    <t>Có tổng hợp kinh phí hay không</t>
  </si>
  <si>
    <t>Tên công trình:</t>
  </si>
  <si>
    <t>Hạng mục:</t>
  </si>
  <si>
    <t>Chủ đầu tư:</t>
  </si>
  <si>
    <t>Địa điểm:</t>
  </si>
  <si>
    <t>Cộng Hoà Xã Hội Chủ Nghĩa Việt Nam</t>
  </si>
  <si>
    <t>–¯—</t>
  </si>
  <si>
    <t>Căn cứ:</t>
  </si>
  <si>
    <t>Bù nhiên liệu - nhân công trong THKP</t>
  </si>
  <si>
    <t>Nội suy dự toán theo Thông tư</t>
  </si>
  <si>
    <t>Bù Nhân công điều khiển máy thi công/Lương Nhân công lái máy</t>
  </si>
  <si>
    <t>Tính Lương NC</t>
  </si>
  <si>
    <t>LTT chung</t>
  </si>
  <si>
    <t>LTT chung NCLM</t>
  </si>
  <si>
    <t>HỆ SỐ BẢNG TỔNG HỢP DỰ TOÁN</t>
  </si>
  <si>
    <t>Hệ số</t>
  </si>
  <si>
    <t>Định dạng</t>
  </si>
  <si>
    <t>HỆ SỐ BẢNG TỔNG HỢP KINH PHÍ</t>
  </si>
  <si>
    <t>LTT Chung - TT06/2010</t>
  </si>
  <si>
    <t>Tính Ca máy theo TT06/2010</t>
  </si>
  <si>
    <t>ĐƠN GIÁ XÂY DỰNG CÔNG TRÌNH</t>
  </si>
  <si>
    <t>BẢNG TIÊN LƯỢNG</t>
  </si>
  <si>
    <t>BẢNG KHỐI LƯỢNG DỰ TOÁN</t>
  </si>
  <si>
    <t>BẢNG PHÂN TÍCH ĐƠN GIÁ XÂY DỰNG CÔNG TRÌNH</t>
  </si>
  <si>
    <t>BẢNG GIÁ VẬT LIỆU ĐẾN HIỆN TRƯỜNG XÂY LẮP</t>
  </si>
  <si>
    <t>BẢNG TÍNH LƯƠNG NHÂN CÔNG XÂY DỰNG</t>
  </si>
  <si>
    <t>BẢNG LƯƠNG NHÂN CÔNG</t>
  </si>
  <si>
    <t>BẢNG GIÁ CA MÁY VÀ THIẾT BỊ THI CÔNG</t>
  </si>
  <si>
    <t>TỔNG HỢP CA MÁY - BÙ CHÊNH LỆCH NHIÊN LIỆU</t>
  </si>
  <si>
    <t>TỔNG HỢP CA MÁY - BÙ CHÊNH LỆCH NHÂN CÔNG ĐIỀU KHIỂN MÁY</t>
  </si>
  <si>
    <t>BẢNG TÍNH LƯƠNG NHÂN CÔNG LÁI MÁY (LƯƠNG NĂM 2006)</t>
  </si>
  <si>
    <t>BẢNG TÍNH LƯƠNG NHÂN CÔNG LÁI MÁY (LƯƠNG NĂM 2013)</t>
  </si>
  <si>
    <t>TỔNG HỢP CA MÁY - CHI PHÍ NHÂN CÔNG ĐIỀU KHIỂN MÁY</t>
  </si>
  <si>
    <t>BẢNG TÍNH LƯƠNG NHÂN CÔNG ĐIỀU KHIỂN MÁY</t>
  </si>
  <si>
    <t>BẢNG TÍNH GIÁ CA MÁY VÀ THIẾT BỊ THI CÔNG</t>
  </si>
  <si>
    <t>PHÂN TÍCH ĐƠN GIÁ VỮA</t>
  </si>
  <si>
    <t>BẢNG DỰ TOÁN HẠNG MỤC</t>
  </si>
  <si>
    <t>BẢNG MUA SẮM THIẾT BỊ</t>
  </si>
  <si>
    <t>BẢNG TỔNG HỢP DỰ TOÁN CHI PHÍ XÂY DỰNG</t>
  </si>
  <si>
    <t>BẢNG TỔNG HỢP DỰ TOÁN CHI PHÍ KHẢO SÁT</t>
  </si>
  <si>
    <t>UBND Thành phố Hồ Chí Minh</t>
  </si>
  <si>
    <t>Tp.HCM</t>
  </si>
  <si>
    <t>XÂY DỰNG MỚI</t>
  </si>
  <si>
    <t>TT04/2010</t>
  </si>
  <si>
    <t>BẢNG TỔNG HỢP DỰ TOÁN CÔNG TRÌNH</t>
  </si>
  <si>
    <t>STT</t>
  </si>
  <si>
    <t>Mã hiệu</t>
  </si>
  <si>
    <t>Tên công việc</t>
  </si>
  <si>
    <t>ĐVT</t>
  </si>
  <si>
    <t>Khối lượng</t>
  </si>
  <si>
    <t>T.Phần</t>
  </si>
  <si>
    <t>TKL</t>
  </si>
  <si>
    <t>Đơn giá</t>
  </si>
  <si>
    <t>Vật liệu</t>
  </si>
  <si>
    <t>Vật liệu phụ</t>
  </si>
  <si>
    <t>Nhân công</t>
  </si>
  <si>
    <t>Máy</t>
  </si>
  <si>
    <t>Thành tiền</t>
  </si>
  <si>
    <t>I. PHẦN MÓNG</t>
  </si>
  <si>
    <t>AB.11313</t>
  </si>
  <si>
    <t>Đào móng băng rộng &lt;=3m sâu &lt;=1 m đất cấp III</t>
  </si>
  <si>
    <r>
      <t>1 m</t>
    </r>
    <r>
      <rPr>
        <vertAlign val="superscript"/>
        <sz val="12"/>
        <rFont val="Times New Roman"/>
        <family val="1"/>
      </rPr>
      <t>3</t>
    </r>
  </si>
  <si>
    <t>:50</t>
  </si>
  <si>
    <t>AF.11111</t>
  </si>
  <si>
    <t>Bê tông lót móng chiều rộng &lt;=250 cm vữa Mác 100 XMPC30 đá 4x6</t>
  </si>
  <si>
    <t>:120</t>
  </si>
  <si>
    <t>TT</t>
  </si>
  <si>
    <t>Dọn dẹp vệ sinh</t>
  </si>
  <si>
    <t>1 công</t>
  </si>
  <si>
    <t>:5</t>
  </si>
  <si>
    <t xml:space="preserve">Tổng cộng: </t>
  </si>
  <si>
    <t xml:space="preserve">Ký hiệu: </t>
  </si>
  <si>
    <t>A1</t>
  </si>
  <si>
    <t>B1</t>
  </si>
  <si>
    <t>C1</t>
  </si>
  <si>
    <t>[1]</t>
  </si>
  <si>
    <t>[2]</t>
  </si>
  <si>
    <t>[3]</t>
  </si>
  <si>
    <t>[4]</t>
  </si>
  <si>
    <t>[5]</t>
  </si>
  <si>
    <t>[6]</t>
  </si>
  <si>
    <t>[7]</t>
  </si>
  <si>
    <t>[8]</t>
  </si>
  <si>
    <t>[9]</t>
  </si>
  <si>
    <t>[10]</t>
  </si>
  <si>
    <t>[11]</t>
  </si>
  <si>
    <t>[12]</t>
  </si>
  <si>
    <t>Nội dung công việc</t>
  </si>
  <si>
    <t>Mức hao phí</t>
  </si>
  <si>
    <t>Nhân công:</t>
  </si>
  <si>
    <t>Nhân công 3,0/7 (Nhóm I)</t>
  </si>
  <si>
    <t>N24307</t>
  </si>
  <si>
    <t>công</t>
  </si>
  <si>
    <t>Vật liệu:</t>
  </si>
  <si>
    <t>Xi măng PC30</t>
  </si>
  <si>
    <t>V240857</t>
  </si>
  <si>
    <t>kg</t>
  </si>
  <si>
    <t>Cát vàng hạt to</t>
  </si>
  <si>
    <t>V240188</t>
  </si>
  <si>
    <r>
      <t>m</t>
    </r>
    <r>
      <rPr>
        <vertAlign val="superscript"/>
        <sz val="12"/>
        <rFont val="Times New Roman"/>
        <family val="1"/>
      </rPr>
      <t>3</t>
    </r>
  </si>
  <si>
    <t>Đá dăm 4x6</t>
  </si>
  <si>
    <t>V240010</t>
  </si>
  <si>
    <t>Nước</t>
  </si>
  <si>
    <t>V240568</t>
  </si>
  <si>
    <t>lít</t>
  </si>
  <si>
    <t>Máy thi công:</t>
  </si>
  <si>
    <t>Máy trộn bê tông 250l</t>
  </si>
  <si>
    <t>M240192</t>
  </si>
  <si>
    <t>ca</t>
  </si>
  <si>
    <t>Đầm bàn 1Kw</t>
  </si>
  <si>
    <t>M240018</t>
  </si>
  <si>
    <t>NTT Dọn dẹp vệ sinh</t>
  </si>
  <si>
    <t>NTT3</t>
  </si>
  <si>
    <t>Công</t>
  </si>
  <si>
    <t>Tên vật liệu</t>
  </si>
  <si>
    <t>Thiết bị máy thi công</t>
  </si>
  <si>
    <t>Định mức hao phí nhiên liệu</t>
  </si>
  <si>
    <t>Diezel</t>
  </si>
  <si>
    <t>Xăng</t>
  </si>
  <si>
    <t>Điện</t>
  </si>
  <si>
    <t>Mazut</t>
  </si>
  <si>
    <t>Khối lượng hao phí nhiên liệu</t>
  </si>
  <si>
    <t>Giá gốc</t>
  </si>
  <si>
    <t>[13]</t>
  </si>
  <si>
    <t>Chênh lệch NL/ca</t>
  </si>
  <si>
    <t>[14]</t>
  </si>
  <si>
    <t>Giá ca máy</t>
  </si>
  <si>
    <t>[15]</t>
  </si>
  <si>
    <t>Ref</t>
  </si>
  <si>
    <t>[16]</t>
  </si>
  <si>
    <t>Chênh lệch</t>
  </si>
  <si>
    <t>Đ/lít</t>
  </si>
  <si>
    <t>Đ/kwh</t>
  </si>
  <si>
    <t>Hệ số chi phí nhiên liệu phụ</t>
  </si>
  <si>
    <t>Hệ số điều chỉnh ca máy</t>
  </si>
  <si>
    <t>HSĐC Máy</t>
  </si>
  <si>
    <t>Chênh lệch NL/Ca</t>
  </si>
  <si>
    <t>Chênh lệch NC/Ca</t>
  </si>
  <si>
    <t>[10]=[4]*[8]*[9]</t>
  </si>
  <si>
    <t>Tên vữa/Thành phần hao phí</t>
  </si>
  <si>
    <t>Công trình này không cần phân tích vữa</t>
  </si>
  <si>
    <t>Tên nhân công</t>
  </si>
  <si>
    <t>Lương công nhân</t>
  </si>
  <si>
    <t>[8]=[4]*[6]*[7]</t>
  </si>
  <si>
    <t>Tên thiết bị</t>
  </si>
  <si>
    <t>Số lượng</t>
  </si>
  <si>
    <t>Chi phí vật liệu</t>
  </si>
  <si>
    <t>Chi phí nhân công</t>
  </si>
  <si>
    <t>Chi phí máy thi công</t>
  </si>
  <si>
    <t>Khoản mục chi phí</t>
  </si>
  <si>
    <t>Cách tính</t>
  </si>
  <si>
    <t>Ký hiệu</t>
  </si>
  <si>
    <t>Ghi chú</t>
  </si>
  <si>
    <t>I. CHI PHÍ TRỰC TIẾP</t>
  </si>
  <si>
    <t/>
  </si>
  <si>
    <t xml:space="preserve">     1. Chi phí vật liệu</t>
  </si>
  <si>
    <t>VL</t>
  </si>
  <si>
    <t xml:space="preserve">     2. Chi phí nhân công</t>
  </si>
  <si>
    <t>NC</t>
  </si>
  <si>
    <t xml:space="preserve">     3. Chi phí máy thi công</t>
  </si>
  <si>
    <t>M</t>
  </si>
  <si>
    <t xml:space="preserve">     4. Chi phí trực tiếp khác</t>
  </si>
  <si>
    <t>CỘNG CHI PHÍ TRỰC TIẾP</t>
  </si>
  <si>
    <t>T</t>
  </si>
  <si>
    <t>II. CHI PHÍ CHUNG</t>
  </si>
  <si>
    <t>C</t>
  </si>
  <si>
    <t>III. THU NHẬP CHỊU THUẾ TÍNH TRƯỚC</t>
  </si>
  <si>
    <t>TL</t>
  </si>
  <si>
    <t xml:space="preserve">     Chi phí xây dựng trước thuế</t>
  </si>
  <si>
    <t>G</t>
  </si>
  <si>
    <t>IV. THUẾ GIÁ TRỊ GIA TĂNG</t>
  </si>
  <si>
    <t>GTGT</t>
  </si>
  <si>
    <t xml:space="preserve">     Chi phí xây dựng sau thuế</t>
  </si>
  <si>
    <t>GXD</t>
  </si>
  <si>
    <t>V. CHI PHÍ NHÀ TẠM TẠI HIỆN TRƯỜNG ĐỂ Ở VÀ ĐIỀU HÀNH THI CÔNG</t>
  </si>
  <si>
    <t>GXDNT</t>
  </si>
  <si>
    <t xml:space="preserve">                      TỔNG CỘNG</t>
  </si>
  <si>
    <t>TC</t>
  </si>
  <si>
    <t>VL+NC+M+TT</t>
  </si>
  <si>
    <t>(T+C+TL)</t>
  </si>
  <si>
    <t>G+GTGT</t>
  </si>
  <si>
    <t>GXD+GXDNT</t>
  </si>
  <si>
    <t xml:space="preserve">Tính tròn: </t>
  </si>
  <si>
    <t>NGƯỜI LẬP</t>
  </si>
  <si>
    <t>NGƯỜI CHỦ TRÌ</t>
  </si>
  <si>
    <t>(Ký, họ tên)</t>
  </si>
  <si>
    <t>Chứng chỉ KS định giá XD hạng  ….., số …..</t>
  </si>
  <si>
    <t>Hạng mục công trình</t>
  </si>
  <si>
    <t>Chi phí trước thuế</t>
  </si>
  <si>
    <t>Thuế GTGT</t>
  </si>
  <si>
    <t>Chi phí nhà tạm</t>
  </si>
  <si>
    <t>Chi phí thiết bị</t>
  </si>
  <si>
    <t>CỘNG:</t>
  </si>
  <si>
    <t>Ký hiệu:</t>
  </si>
  <si>
    <t>(G)</t>
  </si>
  <si>
    <t>(GTGT)</t>
  </si>
  <si>
    <t>(GXDNT)</t>
  </si>
  <si>
    <t>(GTB)</t>
  </si>
  <si>
    <t>I. Chi phí xây dựng</t>
  </si>
  <si>
    <t xml:space="preserve">     1. Chi phí trước thuế</t>
  </si>
  <si>
    <t>H</t>
  </si>
  <si>
    <t xml:space="preserve">     2. Thuế giá trị gia tăng</t>
  </si>
  <si>
    <t>VAT</t>
  </si>
  <si>
    <t xml:space="preserve">     3. Chi phí nhà tạm</t>
  </si>
  <si>
    <t>GLT</t>
  </si>
  <si>
    <t>II. Chi phí thiết bị</t>
  </si>
  <si>
    <t>GTB</t>
  </si>
  <si>
    <t>III. Chi phí quản lý dự án</t>
  </si>
  <si>
    <t>Gqlda</t>
  </si>
  <si>
    <t xml:space="preserve">     1. Chi phí QLDA</t>
  </si>
  <si>
    <t>Gqlda1</t>
  </si>
  <si>
    <t>IV. Chi phí tư vấn đầu tư xây dựng</t>
  </si>
  <si>
    <t>Gtv</t>
  </si>
  <si>
    <t xml:space="preserve">     1. Chi phí khảo sát địa chất</t>
  </si>
  <si>
    <t>Gtv1</t>
  </si>
  <si>
    <t xml:space="preserve">     2. Chi phí đo vẽ khảo sát địa hình</t>
  </si>
  <si>
    <t>Gtv2</t>
  </si>
  <si>
    <t xml:space="preserve">     3. Chi phí lập báo cáo kinh tế kỹ thuật đầu tư</t>
  </si>
  <si>
    <t>Gtv3</t>
  </si>
  <si>
    <t xml:space="preserve">     4. Chi phí thiết kế</t>
  </si>
  <si>
    <t>Gtv4</t>
  </si>
  <si>
    <t xml:space="preserve">     5. Chi phí thẩm tra TKKT, BVTC</t>
  </si>
  <si>
    <t>Gtv5</t>
  </si>
  <si>
    <t xml:space="preserve">     6. Chi phí thẩm tra dự toán</t>
  </si>
  <si>
    <t>Gtv6</t>
  </si>
  <si>
    <t xml:space="preserve">     7. Chi phí lập, đánh giá hồ sơ mời thầu XL</t>
  </si>
  <si>
    <t>Gtv7</t>
  </si>
  <si>
    <t xml:space="preserve">     8. Chi phí lập, đánh giá hồ sơ mời thầu TB</t>
  </si>
  <si>
    <t>Gtv8</t>
  </si>
  <si>
    <t xml:space="preserve">     9. Chi phí giám sát thi công xây dựng CT</t>
  </si>
  <si>
    <t>Gtv9</t>
  </si>
  <si>
    <t xml:space="preserve">   10. Chi phí giám sát thi công lắp đặt thiết bị</t>
  </si>
  <si>
    <t>Gtv10</t>
  </si>
  <si>
    <t xml:space="preserve">   11. Chi phí kiểm tra và CN chất lượng CT</t>
  </si>
  <si>
    <t>Gtv11</t>
  </si>
  <si>
    <t>V. Chi phí khác</t>
  </si>
  <si>
    <t>Gk</t>
  </si>
  <si>
    <t xml:space="preserve">     1. Chi phí thẩm định BCKTKT</t>
  </si>
  <si>
    <t>Gk1</t>
  </si>
  <si>
    <t xml:space="preserve">     2. Lệ phí xây dựng</t>
  </si>
  <si>
    <t>Gk2</t>
  </si>
  <si>
    <t xml:space="preserve">     3. Phí xây dựng</t>
  </si>
  <si>
    <t>Gk3</t>
  </si>
  <si>
    <t xml:space="preserve">     4. Chi phí bảo hiểm tư vấn</t>
  </si>
  <si>
    <t>Gk4</t>
  </si>
  <si>
    <t xml:space="preserve">     5. Chi phí bảo hiểm công trình</t>
  </si>
  <si>
    <t>Gk5</t>
  </si>
  <si>
    <t xml:space="preserve">     6. Chi phí kiểm toán</t>
  </si>
  <si>
    <t>Gk6</t>
  </si>
  <si>
    <t xml:space="preserve">     7. Chi phí thẩm tra và phê duyệt quyết toán</t>
  </si>
  <si>
    <t>Gk7</t>
  </si>
  <si>
    <t>Cộng chi phí QLDA + TVĐTXD + Chi phí khác</t>
  </si>
  <si>
    <t>GKDT</t>
  </si>
  <si>
    <t>VI. Chi phí dự phòng</t>
  </si>
  <si>
    <t>GDP</t>
  </si>
  <si>
    <t xml:space="preserve">     1. Dự phòng khối lượng phát sinh</t>
  </si>
  <si>
    <t>GDP1</t>
  </si>
  <si>
    <t xml:space="preserve">     2. Dự phòng do yếu tố trượt giá</t>
  </si>
  <si>
    <t>GDP2</t>
  </si>
  <si>
    <t xml:space="preserve">           TỔNG CỘNG (I + II + III + IV + V + VI)</t>
  </si>
  <si>
    <t>GXDCT</t>
  </si>
  <si>
    <t>H+VAT</t>
  </si>
  <si>
    <t>Gtv1+Gtv2+Gtv3+Gtv4+Gtv5+Gtv6+Gtv7+Gtv8+Gtv9+Gtv10+Gtv11</t>
  </si>
  <si>
    <t>Gk1+Gk2+Gk3+Gk4+Gk5+Gk6+Gk7</t>
  </si>
  <si>
    <t>Gqlda+Gtv+Gk</t>
  </si>
  <si>
    <t>GDP1+GDP2</t>
  </si>
  <si>
    <t>GXD+GTB+GKDT+GDP</t>
  </si>
  <si>
    <t>Tính tròn</t>
  </si>
  <si>
    <t>Số 1/13</t>
  </si>
  <si>
    <t>Tổng Dự Toán:</t>
  </si>
  <si>
    <t>Căn cứ công văn số 1776/BXD-VP ngày 16/08/2007 của Bộ Xây dựng v/v công bố định mức dự toán xây dựng công trình - phần Xây dựng</t>
  </si>
  <si>
    <t>Căn cứ công văn số 1777/BXD-VP ngày 16/08/2007 của Bộ Xây dựng v/v công bố định mức dự toán xây dựng công trình - phần Lắp đặt</t>
  </si>
  <si>
    <t>Căn cứ công văn số 1778/BXD-VP ngày 16/08/2007 của Bộ Xây dựng v/v công bố định mức dự toán sửa chữa công trình xây dựng</t>
  </si>
  <si>
    <t>Căn cứ công văn số 1298/SXD-QLKTXD ngày 29/02/2008 của UBND TP Hồ Chí Minh v/v công bố công bố đơn giá công tác sửa chữa trong xây dựng cơ bản khu vực thành phố Hồ Chí Minh.</t>
  </si>
  <si>
    <t>Căn cứ công văn số 1299/SXD-QLKTXD ngày 29/02/2008 của UBND TP Hồ Chí Minh v/v công bố đơn giá xây dựng cơ bản (phần xây dựng và phần lắp đặt) khu vực thành phố Hồ Chí Minh.</t>
  </si>
  <si>
    <t>Căn cứ quyết định số 957/QĐ-BXD ngày 29/09/2009 của Bộ Xây dựng v/v công bố định mức chi phí quản lý dự án và tư vấn đầu tư xây dựng công trình</t>
  </si>
  <si>
    <t>Căn cứ vào bảng công bố giá VLXD và TTNT của Sở Xây dựng TP Hồ Chí Minh ngày ../../..</t>
  </si>
  <si>
    <t>Chủ đầu tư</t>
  </si>
  <si>
    <t>Người lập</t>
  </si>
  <si>
    <t>Giám Đốc</t>
  </si>
  <si>
    <t>XÍ NGHIỆP TƯ VẤN XÂY DỰNG</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</si>
</sst>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Red]\-#,###;\ ;"/>
    <numFmt numFmtId="173" formatCode="#,###;\-#,###;\ ;"/>
    <numFmt numFmtId="174" formatCode="##,##0.000;\-##,##0.000;\ ;"/>
    <numFmt numFmtId="175" formatCode="#,###;\-#,###;0;"/>
    <numFmt numFmtId="176" formatCode="#,##0&quot;®&quot;;\-#,##0&quot;®&quot;"/>
    <numFmt numFmtId="177" formatCode="#,##0\ &quot;®&quot;"/>
    <numFmt numFmtId="178" formatCode="\ #,###;[Red]\-#,###"/>
    <numFmt numFmtId="179" formatCode="##,##0.000;[Red]\-##,##0.000;\ ;"/>
    <numFmt numFmtId="180" formatCode="#,##0.000;[Red]\-#,##0.000;\ ;"/>
    <numFmt numFmtId="181" formatCode="#,###;[Red]\-#,###;0;"/>
    <numFmt numFmtId="182" formatCode="#,##0.0000;[Red]\-#,##0.0000;\ ;"/>
    <numFmt numFmtId="183" formatCode="#,##0.00;[Red]\-#,##0.00;\ ;"/>
    <numFmt numFmtId="184" formatCode="#,###.000;[Red]\-#,###.000;\ ;"/>
    <numFmt numFmtId="185" formatCode="0.0%"/>
    <numFmt numFmtId="186" formatCode="0.000%"/>
  </numFmts>
  <fonts count="46">
    <font>
      <sz val="10"/>
      <name val="Arial"/>
      <family val="0"/>
    </font>
    <font>
      <sz val="8"/>
      <name val="Arial"/>
      <family val="2"/>
    </font>
    <font>
      <u val="single"/>
      <sz val="10"/>
      <color indexed="36"/>
      <name val="Arial"/>
      <family val="2"/>
    </font>
    <font>
      <u val="single"/>
      <sz val="10"/>
      <color indexed="12"/>
      <name val="Arial"/>
      <family val="2"/>
    </font>
    <font>
      <sz val="12"/>
      <name val="Times New Roman"/>
      <family val="1"/>
    </font>
    <font>
      <b/>
      <sz val="12"/>
      <name val="Times New Roman"/>
      <family val="1"/>
    </font>
    <font>
      <b/>
      <sz val="14"/>
      <name val="Times New Roman"/>
      <family val="1"/>
    </font>
    <font>
      <b/>
      <sz val="10"/>
      <color indexed="10"/>
      <name val="Arial"/>
      <family val="2"/>
    </font>
    <font>
      <sz val="10"/>
      <color indexed="8"/>
      <name val="Arial"/>
      <family val="2"/>
    </font>
    <font>
      <sz val="12"/>
      <name val=".VnTime"/>
      <family val="2"/>
    </font>
    <font>
      <sz val="10"/>
      <name val="Times New Roman"/>
      <family val="1"/>
    </font>
    <font>
      <i/>
      <sz val="12"/>
      <name val="Times New Roman"/>
      <family val="1"/>
    </font>
    <font>
      <sz val="13"/>
      <name val="Times New Roman"/>
      <family val="1"/>
    </font>
    <font>
      <i/>
      <sz val="13"/>
      <name val="Times New Roman"/>
      <family val="1"/>
    </font>
    <font>
      <b/>
      <sz val="18"/>
      <name val="Times New Roman"/>
      <family val="1"/>
    </font>
    <font>
      <b/>
      <sz val="13"/>
      <name val="Times New Roman"/>
      <family val="1"/>
    </font>
    <font>
      <b/>
      <u val="single"/>
      <sz val="12"/>
      <name val="Times New Roman"/>
      <family val="1"/>
    </font>
    <font>
      <b/>
      <i/>
      <sz val="12"/>
      <name val="Times New Roman"/>
      <family val="1"/>
    </font>
    <font>
      <sz val="8"/>
      <name val="Tahoma"/>
      <family val="2"/>
    </font>
    <font>
      <sz val="10"/>
      <color indexed="10"/>
      <name val="Arial"/>
      <family val="2"/>
    </font>
    <font>
      <b/>
      <sz val="10"/>
      <name val="Verdana"/>
      <family val="2"/>
    </font>
    <font>
      <b/>
      <sz val="10"/>
      <color indexed="10"/>
      <name val="Courier New"/>
      <family val="3"/>
    </font>
    <font>
      <b/>
      <sz val="20"/>
      <name val="Times New Roman"/>
      <family val="1"/>
    </font>
    <font>
      <b/>
      <sz val="12"/>
      <name val="Wingding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vertAlign val="superscript"/>
      <sz val="12"/>
      <name val="Times New Roman"/>
      <family val="1"/>
    </font>
    <font>
      <sz val="12"/>
      <color indexed="10"/>
      <name val="Times New Roman"/>
      <family val="1"/>
    </font>
    <font>
      <b/>
      <sz val="16"/>
      <name val="Times New Roman"/>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9" fillId="0" borderId="0">
      <alignment/>
      <protection/>
    </xf>
    <xf numFmtId="0" fontId="8" fillId="0" borderId="0">
      <alignment/>
      <protection/>
    </xf>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95">
    <xf numFmtId="0" fontId="0" fillId="0" borderId="0" xfId="0" applyAlignment="1">
      <alignment/>
    </xf>
    <xf numFmtId="0" fontId="0" fillId="0" borderId="0" xfId="0" applyAlignment="1">
      <alignment/>
    </xf>
    <xf numFmtId="0" fontId="4" fillId="0" borderId="0" xfId="0" applyFont="1" applyAlignment="1">
      <alignment/>
    </xf>
    <xf numFmtId="0" fontId="7" fillId="0" borderId="0" xfId="0" applyFont="1" applyAlignment="1">
      <alignment/>
    </xf>
    <xf numFmtId="0" fontId="19" fillId="0" borderId="0" xfId="0" applyFont="1" applyAlignment="1">
      <alignment horizontal="left" vertical="top"/>
    </xf>
    <xf numFmtId="0" fontId="7" fillId="6" borderId="0" xfId="0" applyFont="1" applyFill="1" applyAlignment="1">
      <alignment/>
    </xf>
    <xf numFmtId="0" fontId="0" fillId="6" borderId="0" xfId="0" applyFill="1" applyAlignment="1">
      <alignment horizontal="left" vertical="top"/>
    </xf>
    <xf numFmtId="0" fontId="0" fillId="6" borderId="0" xfId="0" applyFill="1" applyAlignment="1">
      <alignment/>
    </xf>
    <xf numFmtId="0" fontId="8" fillId="0" borderId="7" xfId="58" applyFont="1" applyFill="1" applyBorder="1" applyAlignment="1">
      <alignment wrapText="1"/>
      <protection/>
    </xf>
    <xf numFmtId="0" fontId="8" fillId="0" borderId="7" xfId="58" applyFont="1" applyFill="1" applyBorder="1" applyAlignment="1">
      <alignment horizontal="left" vertical="top" wrapText="1"/>
      <protection/>
    </xf>
    <xf numFmtId="0" fontId="8" fillId="6" borderId="0" xfId="58" applyFont="1" applyFill="1" applyBorder="1" applyAlignment="1">
      <alignment wrapText="1"/>
      <protection/>
    </xf>
    <xf numFmtId="0" fontId="8" fillId="6" borderId="0" xfId="58" applyFont="1" applyFill="1" applyBorder="1" applyAlignment="1">
      <alignment horizontal="left" vertical="top" wrapText="1"/>
      <protection/>
    </xf>
    <xf numFmtId="0" fontId="0" fillId="0" borderId="0" xfId="0" applyFont="1" applyAlignment="1">
      <alignment/>
    </xf>
    <xf numFmtId="0" fontId="0" fillId="0" borderId="0" xfId="0" applyAlignment="1">
      <alignment horizontal="left" vertical="top"/>
    </xf>
    <xf numFmtId="0" fontId="0" fillId="0" borderId="0" xfId="0" applyFont="1" applyAlignment="1">
      <alignment wrapText="1"/>
    </xf>
    <xf numFmtId="0" fontId="8" fillId="6" borderId="0" xfId="58" applyFont="1" applyFill="1" applyBorder="1" applyAlignment="1">
      <alignment horizontal="left" vertical="center" wrapText="1"/>
      <protection/>
    </xf>
    <xf numFmtId="0" fontId="4" fillId="0" borderId="0" xfId="57" applyFont="1" applyAlignment="1">
      <alignment horizontal="center" vertical="center"/>
      <protection/>
    </xf>
    <xf numFmtId="0" fontId="10" fillId="0" borderId="0" xfId="0" applyFont="1" applyAlignment="1">
      <alignment/>
    </xf>
    <xf numFmtId="0" fontId="5" fillId="0" borderId="0" xfId="57" applyFont="1" applyAlignment="1">
      <alignment horizontal="center" vertical="center"/>
      <protection/>
    </xf>
    <xf numFmtId="0" fontId="12" fillId="0" borderId="0" xfId="57" applyFont="1" applyAlignment="1">
      <alignment horizontal="center" vertical="center"/>
      <protection/>
    </xf>
    <xf numFmtId="0" fontId="13" fillId="0" borderId="0" xfId="57" applyFont="1" applyAlignment="1">
      <alignment horizontal="center" vertical="center"/>
      <protection/>
    </xf>
    <xf numFmtId="0" fontId="15" fillId="0" borderId="0" xfId="57" applyFont="1" applyAlignment="1">
      <alignment horizontal="center" vertical="center"/>
      <protection/>
    </xf>
    <xf numFmtId="0" fontId="5" fillId="0" borderId="0" xfId="57" applyFont="1" applyAlignment="1">
      <alignment horizontal="right" vertical="center"/>
      <protection/>
    </xf>
    <xf numFmtId="0" fontId="4" fillId="0" borderId="0" xfId="57" applyFont="1" applyAlignment="1">
      <alignment horizontal="left" vertical="center" wrapText="1"/>
      <protection/>
    </xf>
    <xf numFmtId="0" fontId="4" fillId="0" borderId="0" xfId="57" applyFont="1" applyAlignment="1" quotePrefix="1">
      <alignment horizontal="justify" vertical="center" wrapText="1"/>
      <protection/>
    </xf>
    <xf numFmtId="0" fontId="4" fillId="0" borderId="0" xfId="57" applyFont="1" applyAlignment="1">
      <alignment horizontal="justify" vertical="center" wrapText="1"/>
      <protection/>
    </xf>
    <xf numFmtId="0" fontId="5" fillId="0" borderId="0" xfId="57" applyNumberFormat="1" applyFont="1" applyAlignment="1">
      <alignment horizontal="right"/>
      <protection/>
    </xf>
    <xf numFmtId="49" fontId="16" fillId="0" borderId="0" xfId="57" applyNumberFormat="1" applyFont="1" applyAlignment="1">
      <alignment vertical="center"/>
      <protection/>
    </xf>
    <xf numFmtId="0" fontId="5" fillId="0" borderId="0" xfId="57" applyNumberFormat="1" applyFont="1" applyAlignment="1">
      <alignment vertical="center"/>
      <protection/>
    </xf>
    <xf numFmtId="37" fontId="16" fillId="0" borderId="0" xfId="57" applyNumberFormat="1" applyFont="1" applyAlignment="1">
      <alignment vertical="center"/>
      <protection/>
    </xf>
    <xf numFmtId="0" fontId="4" fillId="0" borderId="0" xfId="57" applyFont="1" applyAlignment="1">
      <alignment vertical="center"/>
      <protection/>
    </xf>
    <xf numFmtId="0" fontId="17" fillId="0" borderId="0" xfId="57" applyNumberFormat="1" applyFont="1" applyAlignment="1">
      <alignment horizontal="left" vertical="center"/>
      <protection/>
    </xf>
    <xf numFmtId="0" fontId="5" fillId="0" borderId="0" xfId="57" applyFont="1" applyAlignment="1">
      <alignment vertical="center"/>
      <protection/>
    </xf>
    <xf numFmtId="0" fontId="0" fillId="0" borderId="0" xfId="0" applyFont="1" applyAlignment="1">
      <alignment horizontal="left" vertical="top"/>
    </xf>
    <xf numFmtId="0" fontId="4" fillId="0" borderId="0" xfId="0" applyFont="1" applyAlignment="1">
      <alignment/>
    </xf>
    <xf numFmtId="0" fontId="20" fillId="0" borderId="0" xfId="0" applyFont="1" applyAlignment="1">
      <alignment horizontal="left" indent="1"/>
    </xf>
    <xf numFmtId="0" fontId="20" fillId="0" borderId="0" xfId="0" applyFont="1" applyAlignment="1">
      <alignment/>
    </xf>
    <xf numFmtId="0" fontId="21" fillId="0" borderId="0" xfId="0" applyFont="1" applyAlignment="1">
      <alignment horizontal="left" indent="1"/>
    </xf>
    <xf numFmtId="0" fontId="0" fillId="0" borderId="0" xfId="0" applyFont="1" applyAlignment="1">
      <alignment/>
    </xf>
    <xf numFmtId="0" fontId="4" fillId="0" borderId="0" xfId="0" applyFont="1" applyBorder="1" applyAlignment="1">
      <alignment vertical="top"/>
    </xf>
    <xf numFmtId="0" fontId="5" fillId="0" borderId="0" xfId="0" applyFont="1" applyAlignment="1">
      <alignment/>
    </xf>
    <xf numFmtId="0" fontId="16" fillId="0" borderId="0" xfId="0" applyFont="1" applyBorder="1" applyAlignment="1">
      <alignment vertical="top"/>
    </xf>
    <xf numFmtId="0" fontId="4" fillId="0" borderId="0" xfId="0" applyFont="1" applyAlignment="1">
      <alignment wrapText="1"/>
    </xf>
    <xf numFmtId="0" fontId="41" fillId="0" borderId="10" xfId="0" applyFont="1" applyBorder="1" applyAlignment="1">
      <alignment horizontal="center" vertical="top" wrapText="1"/>
    </xf>
    <xf numFmtId="0" fontId="41" fillId="0" borderId="10" xfId="0" applyNumberFormat="1" applyFont="1" applyBorder="1" applyAlignment="1">
      <alignment horizontal="center" vertical="top" wrapText="1"/>
    </xf>
    <xf numFmtId="0" fontId="5" fillId="0" borderId="0" xfId="0" applyFont="1" applyAlignment="1">
      <alignment horizontal="center"/>
    </xf>
    <xf numFmtId="0" fontId="4" fillId="0" borderId="11" xfId="0" applyFont="1" applyBorder="1" applyAlignment="1">
      <alignment horizontal="center" vertical="top"/>
    </xf>
    <xf numFmtId="0" fontId="5" fillId="0" borderId="0" xfId="0" applyFont="1" applyBorder="1" applyAlignment="1">
      <alignment horizontal="center" vertical="top"/>
    </xf>
    <xf numFmtId="0" fontId="23" fillId="0" borderId="0" xfId="0" applyFont="1" applyBorder="1" applyAlignment="1">
      <alignment horizontal="center" vertical="top"/>
    </xf>
    <xf numFmtId="0" fontId="5" fillId="0" borderId="0" xfId="57" applyFont="1" applyAlignment="1">
      <alignment horizontal="center" vertical="center"/>
      <protection/>
    </xf>
    <xf numFmtId="0" fontId="5" fillId="0" borderId="0" xfId="57" applyFont="1" applyAlignment="1">
      <alignment horizontal="left" vertical="center" wrapText="1"/>
      <protection/>
    </xf>
    <xf numFmtId="0" fontId="4" fillId="0" borderId="0" xfId="57" applyFont="1" applyAlignment="1" quotePrefix="1">
      <alignment horizontal="left" vertical="center" wrapText="1"/>
      <protection/>
    </xf>
    <xf numFmtId="0" fontId="17" fillId="0" borderId="0" xfId="0" applyFont="1" applyAlignment="1">
      <alignment horizontal="left"/>
    </xf>
    <xf numFmtId="49" fontId="5" fillId="0" borderId="0" xfId="57" applyNumberFormat="1" applyFont="1" applyAlignment="1">
      <alignment horizontal="right" vertical="center"/>
      <protection/>
    </xf>
    <xf numFmtId="3" fontId="16" fillId="0" borderId="0" xfId="57" applyNumberFormat="1" applyFont="1" applyAlignment="1">
      <alignment horizontal="right" vertical="center"/>
      <protection/>
    </xf>
    <xf numFmtId="0" fontId="4" fillId="0" borderId="0" xfId="57" applyFont="1" applyAlignment="1">
      <alignment horizontal="center" vertical="center"/>
      <protection/>
    </xf>
    <xf numFmtId="0" fontId="4" fillId="0" borderId="0" xfId="57" applyFont="1" applyAlignment="1">
      <alignment horizontal="left" vertical="center" wrapText="1"/>
      <protection/>
    </xf>
    <xf numFmtId="0" fontId="4" fillId="0" borderId="0" xfId="57" applyFont="1" applyAlignment="1" quotePrefix="1">
      <alignment horizontal="center" vertical="center"/>
      <protection/>
    </xf>
    <xf numFmtId="0" fontId="6" fillId="0" borderId="0" xfId="57" applyFont="1" applyAlignment="1">
      <alignment horizontal="center" vertical="center"/>
      <protection/>
    </xf>
    <xf numFmtId="0" fontId="16" fillId="0" borderId="0" xfId="57" applyFont="1" applyAlignment="1">
      <alignment horizontal="left" vertical="center"/>
      <protection/>
    </xf>
    <xf numFmtId="0" fontId="11" fillId="0" borderId="0" xfId="57" applyFont="1" applyAlignment="1">
      <alignment horizontal="center" vertical="center"/>
      <protection/>
    </xf>
    <xf numFmtId="0" fontId="14" fillId="0" borderId="0" xfId="57" applyFont="1" applyAlignment="1">
      <alignment horizontal="center" vertical="center"/>
      <protection/>
    </xf>
    <xf numFmtId="0" fontId="4" fillId="0" borderId="0" xfId="0" applyFont="1" applyAlignment="1">
      <alignment vertical="top"/>
    </xf>
    <xf numFmtId="0" fontId="14" fillId="0" borderId="0" xfId="0" applyFont="1" applyAlignment="1">
      <alignment horizontal="center" vertical="top"/>
    </xf>
    <xf numFmtId="0" fontId="6" fillId="0" borderId="0" xfId="0" applyFont="1" applyAlignment="1">
      <alignment horizontal="center" vertical="top"/>
    </xf>
    <xf numFmtId="0" fontId="4" fillId="0" borderId="0" xfId="0" applyFont="1" applyAlignment="1">
      <alignment horizontal="center" vertical="top"/>
    </xf>
    <xf numFmtId="0" fontId="4" fillId="0" borderId="0" xfId="0" applyFont="1" applyBorder="1" applyAlignment="1">
      <alignment horizontal="center" vertical="top"/>
    </xf>
    <xf numFmtId="0" fontId="4" fillId="0" borderId="0" xfId="0" applyFont="1" applyBorder="1" applyAlignment="1">
      <alignment horizontal="center" vertical="top"/>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quotePrefix="1">
      <alignment vertical="top"/>
    </xf>
    <xf numFmtId="0" fontId="4" fillId="0" borderId="13" xfId="0" applyFont="1" applyBorder="1" applyAlignment="1">
      <alignment vertical="top"/>
    </xf>
    <xf numFmtId="0" fontId="4" fillId="0" borderId="14" xfId="0" applyFont="1" applyBorder="1" applyAlignment="1">
      <alignment vertical="top"/>
    </xf>
    <xf numFmtId="172" fontId="4" fillId="0" borderId="0" xfId="0" applyNumberFormat="1" applyFont="1" applyAlignment="1">
      <alignment vertical="top"/>
    </xf>
    <xf numFmtId="0" fontId="4" fillId="0" borderId="10" xfId="0" applyFont="1" applyBorder="1" applyAlignment="1">
      <alignment horizontal="center" vertical="top" wrapText="1"/>
    </xf>
    <xf numFmtId="0" fontId="4" fillId="0" borderId="10" xfId="0" applyFont="1" applyBorder="1" applyAlignment="1" quotePrefix="1">
      <alignment vertical="top" wrapText="1"/>
    </xf>
    <xf numFmtId="0" fontId="4" fillId="0" borderId="10" xfId="0" applyFont="1" applyBorder="1" applyAlignment="1" quotePrefix="1">
      <alignment horizontal="center" vertical="top" wrapText="1"/>
    </xf>
    <xf numFmtId="0" fontId="4" fillId="0" borderId="10" xfId="0" applyFont="1" applyBorder="1" applyAlignment="1">
      <alignment vertical="top" wrapText="1"/>
    </xf>
    <xf numFmtId="179" fontId="5" fillId="0" borderId="10" xfId="0" applyNumberFormat="1" applyFont="1" applyBorder="1" applyAlignment="1">
      <alignment vertical="top" wrapText="1"/>
    </xf>
    <xf numFmtId="172" fontId="4" fillId="0" borderId="10" xfId="0" applyNumberFormat="1" applyFont="1" applyBorder="1" applyAlignment="1">
      <alignment vertical="top" wrapText="1"/>
    </xf>
    <xf numFmtId="0" fontId="4" fillId="0" borderId="12" xfId="0" applyFont="1" applyBorder="1" applyAlignment="1">
      <alignment vertical="top"/>
    </xf>
    <xf numFmtId="0" fontId="4" fillId="0" borderId="10" xfId="0" applyFont="1" applyBorder="1" applyAlignment="1" quotePrefix="1">
      <alignment horizontal="left" vertical="top" wrapText="1"/>
    </xf>
    <xf numFmtId="174" fontId="4" fillId="0" borderId="10" xfId="0" applyNumberFormat="1" applyFont="1" applyBorder="1" applyAlignment="1">
      <alignment vertical="top" wrapText="1"/>
    </xf>
    <xf numFmtId="0" fontId="5" fillId="0" borderId="14" xfId="0" applyFont="1" applyBorder="1" applyAlignment="1">
      <alignment horizontal="right" vertical="top"/>
    </xf>
    <xf numFmtId="172" fontId="5" fillId="0" borderId="10" xfId="0" applyNumberFormat="1" applyFont="1" applyBorder="1" applyAlignment="1">
      <alignment vertical="top" wrapText="1"/>
    </xf>
    <xf numFmtId="172" fontId="4" fillId="0" borderId="0" xfId="0" applyNumberFormat="1" applyFont="1" applyAlignment="1">
      <alignment horizontal="right" vertical="top"/>
    </xf>
    <xf numFmtId="172" fontId="5" fillId="0" borderId="0" xfId="0" applyNumberFormat="1" applyFont="1" applyAlignment="1">
      <alignment horizontal="right" vertical="top"/>
    </xf>
    <xf numFmtId="0" fontId="5" fillId="0" borderId="10" xfId="0" applyFont="1" applyBorder="1" applyAlignment="1">
      <alignment horizontal="center" vertical="top" wrapText="1"/>
    </xf>
    <xf numFmtId="0" fontId="5" fillId="0" borderId="10" xfId="0" applyFont="1" applyBorder="1" applyAlignment="1">
      <alignment horizontal="center" vertical="top" wrapText="1"/>
    </xf>
    <xf numFmtId="0" fontId="10" fillId="0" borderId="10" xfId="0" applyFont="1" applyBorder="1" applyAlignment="1">
      <alignment horizontal="center" vertical="center" wrapText="1"/>
    </xf>
    <xf numFmtId="0" fontId="5" fillId="0" borderId="0" xfId="0" applyFont="1" applyAlignment="1">
      <alignment vertical="top"/>
    </xf>
    <xf numFmtId="0" fontId="5" fillId="0" borderId="0" xfId="0" applyFont="1" applyAlignment="1">
      <alignment horizontal="center" vertical="top"/>
    </xf>
    <xf numFmtId="0" fontId="4" fillId="0" borderId="0" xfId="0" applyFont="1" applyAlignment="1">
      <alignment vertical="top" wrapText="1"/>
    </xf>
    <xf numFmtId="180" fontId="4" fillId="0" borderId="0" xfId="0" applyNumberFormat="1" applyFont="1" applyAlignment="1">
      <alignment vertical="top"/>
    </xf>
    <xf numFmtId="175" fontId="4" fillId="0" borderId="10" xfId="0" applyNumberFormat="1" applyFont="1" applyBorder="1" applyAlignment="1">
      <alignment vertical="top" wrapText="1"/>
    </xf>
    <xf numFmtId="175" fontId="5" fillId="0" borderId="10" xfId="0" applyNumberFormat="1" applyFont="1" applyBorder="1" applyAlignment="1">
      <alignment vertical="top" wrapText="1"/>
    </xf>
    <xf numFmtId="0" fontId="4" fillId="0" borderId="15" xfId="0" applyFont="1" applyBorder="1" applyAlignment="1">
      <alignment vertical="top"/>
    </xf>
    <xf numFmtId="0" fontId="5" fillId="0" borderId="15" xfId="0" applyFont="1" applyBorder="1" applyAlignment="1">
      <alignment vertical="top"/>
    </xf>
    <xf numFmtId="0" fontId="4" fillId="0" borderId="16" xfId="0" applyFont="1" applyBorder="1" applyAlignment="1">
      <alignment vertical="top"/>
    </xf>
    <xf numFmtId="0" fontId="4" fillId="0" borderId="16" xfId="0" applyFont="1" applyBorder="1" applyAlignment="1">
      <alignment vertical="top" wrapText="1"/>
    </xf>
    <xf numFmtId="0" fontId="4" fillId="0" borderId="16" xfId="0" applyFont="1" applyBorder="1" applyAlignment="1" quotePrefix="1">
      <alignment horizontal="center" vertical="top"/>
    </xf>
    <xf numFmtId="181" fontId="4" fillId="0" borderId="16" xfId="0" applyNumberFormat="1" applyFont="1" applyBorder="1" applyAlignment="1">
      <alignment vertical="top"/>
    </xf>
    <xf numFmtId="0" fontId="5" fillId="0" borderId="0" xfId="0" applyFont="1" applyBorder="1" applyAlignment="1">
      <alignment vertical="top"/>
    </xf>
    <xf numFmtId="0" fontId="4" fillId="0" borderId="17" xfId="0" applyFont="1" applyBorder="1" applyAlignment="1">
      <alignment vertical="top"/>
    </xf>
    <xf numFmtId="0" fontId="4" fillId="0" borderId="17" xfId="0" applyFont="1" applyBorder="1" applyAlignment="1">
      <alignment vertical="top" wrapText="1"/>
    </xf>
    <xf numFmtId="0" fontId="4" fillId="0" borderId="17" xfId="0" applyFont="1" applyBorder="1" applyAlignment="1" quotePrefix="1">
      <alignment horizontal="center" vertical="top"/>
    </xf>
    <xf numFmtId="181" fontId="4" fillId="0" borderId="17" xfId="0" applyNumberFormat="1" applyFont="1" applyBorder="1" applyAlignment="1">
      <alignment vertical="top"/>
    </xf>
    <xf numFmtId="0" fontId="5" fillId="0" borderId="17" xfId="0" applyFont="1" applyBorder="1" applyAlignment="1">
      <alignment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17" xfId="0" applyFont="1" applyBorder="1" applyAlignment="1">
      <alignment horizontal="center" vertical="top"/>
    </xf>
    <xf numFmtId="0" fontId="4" fillId="0" borderId="16" xfId="0" applyFont="1" applyBorder="1" applyAlignment="1">
      <alignment horizontal="left" vertical="top" wrapText="1" indent="1"/>
    </xf>
    <xf numFmtId="0" fontId="4" fillId="0" borderId="17" xfId="0" applyFont="1" applyBorder="1" applyAlignment="1">
      <alignment horizontal="left" vertical="top" wrapText="1" indent="1"/>
    </xf>
    <xf numFmtId="0" fontId="10" fillId="0" borderId="10" xfId="0" applyFont="1" applyBorder="1" applyAlignment="1">
      <alignment horizontal="center" vertical="top" wrapText="1"/>
    </xf>
    <xf numFmtId="0" fontId="4" fillId="0" borderId="15" xfId="0" applyFont="1" applyBorder="1" applyAlignment="1">
      <alignment horizontal="center" vertical="top" wrapText="1"/>
    </xf>
    <xf numFmtId="0" fontId="4" fillId="0" borderId="15" xfId="0" applyFont="1" applyBorder="1" applyAlignment="1" quotePrefix="1">
      <alignment vertical="top" wrapText="1"/>
    </xf>
    <xf numFmtId="0" fontId="4" fillId="0" borderId="15" xfId="0" applyFont="1" applyBorder="1" applyAlignment="1" quotePrefix="1">
      <alignment horizontal="center" vertical="top" wrapText="1"/>
    </xf>
    <xf numFmtId="0" fontId="4" fillId="0" borderId="15" xfId="0" applyFont="1" applyBorder="1" applyAlignment="1">
      <alignment vertical="top" wrapText="1"/>
    </xf>
    <xf numFmtId="173" fontId="4" fillId="0" borderId="15" xfId="0" applyNumberFormat="1" applyFont="1" applyBorder="1" applyAlignment="1">
      <alignment vertical="top" wrapText="1"/>
    </xf>
    <xf numFmtId="0" fontId="4" fillId="0" borderId="17" xfId="0" applyFont="1" applyBorder="1" applyAlignment="1">
      <alignment horizontal="center" vertical="top" wrapText="1"/>
    </xf>
    <xf numFmtId="0" fontId="4" fillId="0" borderId="17" xfId="0" applyFont="1" applyBorder="1" applyAlignment="1" quotePrefix="1">
      <alignment vertical="top" wrapText="1"/>
    </xf>
    <xf numFmtId="0" fontId="4" fillId="0" borderId="17" xfId="0" applyFont="1" applyBorder="1" applyAlignment="1" quotePrefix="1">
      <alignment horizontal="center" vertical="top" wrapText="1"/>
    </xf>
    <xf numFmtId="173" fontId="4" fillId="0" borderId="17" xfId="0" applyNumberFormat="1" applyFont="1" applyBorder="1" applyAlignment="1">
      <alignment vertical="top" wrapText="1"/>
    </xf>
    <xf numFmtId="0" fontId="4" fillId="0" borderId="16" xfId="0" applyFont="1" applyBorder="1" applyAlignment="1">
      <alignment horizontal="center" vertical="top" wrapText="1"/>
    </xf>
    <xf numFmtId="0" fontId="4" fillId="0" borderId="16" xfId="0" applyFont="1" applyBorder="1" applyAlignment="1" quotePrefix="1">
      <alignment vertical="top" wrapText="1"/>
    </xf>
    <xf numFmtId="0" fontId="4" fillId="0" borderId="16" xfId="0" applyFont="1" applyBorder="1" applyAlignment="1" quotePrefix="1">
      <alignment horizontal="center" vertical="top" wrapText="1"/>
    </xf>
    <xf numFmtId="173" fontId="4" fillId="0" borderId="16" xfId="0" applyNumberFormat="1" applyFont="1" applyBorder="1" applyAlignment="1">
      <alignment vertical="top" wrapText="1"/>
    </xf>
    <xf numFmtId="0" fontId="5" fillId="0" borderId="10" xfId="0" applyFont="1" applyBorder="1" applyAlignment="1">
      <alignment vertical="center" wrapText="1"/>
    </xf>
    <xf numFmtId="0" fontId="5" fillId="0" borderId="10" xfId="0" applyFont="1" applyBorder="1" applyAlignment="1">
      <alignment vertical="center" wrapText="1"/>
    </xf>
    <xf numFmtId="0" fontId="4" fillId="0" borderId="10" xfId="0" applyFont="1" applyBorder="1" applyAlignment="1">
      <alignment horizontal="right" vertical="top" wrapText="1"/>
    </xf>
    <xf numFmtId="179" fontId="4" fillId="0" borderId="15" xfId="0" applyNumberFormat="1" applyFont="1" applyBorder="1" applyAlignment="1">
      <alignment vertical="top" wrapText="1"/>
    </xf>
    <xf numFmtId="179" fontId="4" fillId="0" borderId="16" xfId="0" applyNumberFormat="1" applyFont="1" applyBorder="1" applyAlignment="1">
      <alignment vertical="top" wrapText="1"/>
    </xf>
    <xf numFmtId="172" fontId="4" fillId="0" borderId="15" xfId="0" applyNumberFormat="1" applyFont="1" applyBorder="1" applyAlignment="1">
      <alignment vertical="top" wrapText="1"/>
    </xf>
    <xf numFmtId="172" fontId="4" fillId="0" borderId="16" xfId="0" applyNumberFormat="1" applyFont="1" applyBorder="1" applyAlignment="1">
      <alignment vertical="top" wrapText="1"/>
    </xf>
    <xf numFmtId="182" fontId="4" fillId="0" borderId="15" xfId="0" applyNumberFormat="1" applyFont="1" applyBorder="1" applyAlignment="1">
      <alignment horizontal="right" vertical="top" wrapText="1"/>
    </xf>
    <xf numFmtId="183" fontId="4" fillId="0" borderId="15" xfId="0" applyNumberFormat="1" applyFont="1" applyBorder="1" applyAlignment="1">
      <alignment horizontal="right" vertical="top" wrapText="1"/>
    </xf>
    <xf numFmtId="172" fontId="4" fillId="0" borderId="15" xfId="0" applyNumberFormat="1" applyFont="1" applyBorder="1" applyAlignment="1">
      <alignment horizontal="right" vertical="top" wrapText="1"/>
    </xf>
    <xf numFmtId="182" fontId="4" fillId="0" borderId="16" xfId="0" applyNumberFormat="1" applyFont="1" applyBorder="1" applyAlignment="1">
      <alignment horizontal="right" vertical="top" wrapText="1"/>
    </xf>
    <xf numFmtId="183" fontId="4" fillId="0" borderId="16" xfId="0" applyNumberFormat="1" applyFont="1" applyBorder="1" applyAlignment="1">
      <alignment horizontal="right" vertical="top" wrapText="1"/>
    </xf>
    <xf numFmtId="172" fontId="4" fillId="0" borderId="16" xfId="0" applyNumberFormat="1" applyFont="1" applyBorder="1" applyAlignment="1">
      <alignment horizontal="right" vertical="top" wrapText="1"/>
    </xf>
    <xf numFmtId="0" fontId="4" fillId="0" borderId="15" xfId="0" applyNumberFormat="1" applyFont="1" applyBorder="1" applyAlignment="1">
      <alignment vertical="top" wrapText="1"/>
    </xf>
    <xf numFmtId="0" fontId="4" fillId="0" borderId="16" xfId="0" applyNumberFormat="1" applyFont="1" applyBorder="1" applyAlignment="1">
      <alignment vertical="top" wrapText="1"/>
    </xf>
    <xf numFmtId="0" fontId="43" fillId="0" borderId="11" xfId="0" applyFont="1" applyBorder="1" applyAlignment="1">
      <alignment horizontal="center" vertical="top"/>
    </xf>
    <xf numFmtId="184" fontId="4" fillId="0" borderId="15" xfId="0" applyNumberFormat="1" applyFont="1" applyBorder="1" applyAlignment="1">
      <alignment vertical="top" wrapText="1"/>
    </xf>
    <xf numFmtId="184" fontId="4" fillId="0" borderId="16" xfId="0" applyNumberFormat="1"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left" vertical="top" wrapText="1"/>
    </xf>
    <xf numFmtId="185" fontId="0" fillId="0" borderId="10" xfId="0" applyNumberFormat="1" applyBorder="1" applyAlignment="1">
      <alignment horizontal="left" vertical="top" wrapText="1"/>
    </xf>
    <xf numFmtId="10" fontId="0" fillId="0" borderId="10" xfId="0" applyNumberFormat="1" applyBorder="1" applyAlignment="1">
      <alignment horizontal="left" vertical="top" wrapText="1"/>
    </xf>
    <xf numFmtId="0" fontId="5" fillId="0" borderId="15" xfId="0" applyFont="1" applyBorder="1" applyAlignment="1">
      <alignment vertical="top" wrapText="1"/>
    </xf>
    <xf numFmtId="0" fontId="5" fillId="0" borderId="15" xfId="0" applyFont="1" applyBorder="1" applyAlignment="1">
      <alignment horizontal="center" vertical="top" wrapText="1"/>
    </xf>
    <xf numFmtId="172" fontId="4" fillId="0" borderId="17" xfId="0" applyNumberFormat="1" applyFont="1" applyBorder="1" applyAlignment="1">
      <alignment vertical="top" wrapText="1"/>
    </xf>
    <xf numFmtId="0" fontId="5" fillId="0" borderId="17" xfId="0" applyFont="1" applyBorder="1" applyAlignment="1">
      <alignment vertical="top" wrapText="1"/>
    </xf>
    <xf numFmtId="0" fontId="5" fillId="0" borderId="17" xfId="0" applyFont="1" applyBorder="1" applyAlignment="1">
      <alignment horizontal="center" vertical="top" wrapText="1"/>
    </xf>
    <xf numFmtId="0" fontId="5" fillId="0" borderId="16" xfId="0" applyFont="1" applyBorder="1" applyAlignment="1">
      <alignment vertical="top" wrapText="1"/>
    </xf>
    <xf numFmtId="0" fontId="5" fillId="0" borderId="16" xfId="0" applyFont="1" applyBorder="1" applyAlignment="1">
      <alignment horizontal="center" vertical="top" wrapText="1"/>
    </xf>
    <xf numFmtId="172" fontId="4" fillId="0" borderId="0" xfId="0" applyNumberFormat="1" applyFont="1" applyAlignment="1">
      <alignment vertical="top" wrapText="1"/>
    </xf>
    <xf numFmtId="0" fontId="4" fillId="0" borderId="0" xfId="0" applyFont="1" applyAlignment="1">
      <alignment horizontal="center" vertical="top" wrapText="1"/>
    </xf>
    <xf numFmtId="0" fontId="16" fillId="0" borderId="0" xfId="0" applyFont="1" applyAlignment="1">
      <alignment horizontal="right" vertical="top" wrapText="1"/>
    </xf>
    <xf numFmtId="172" fontId="16" fillId="0" borderId="0" xfId="0" applyNumberFormat="1" applyFont="1" applyAlignment="1">
      <alignment vertical="top" wrapText="1"/>
    </xf>
    <xf numFmtId="0" fontId="17" fillId="0" borderId="0" xfId="0" applyFont="1" applyAlignment="1">
      <alignment horizontal="left" vertical="top" wrapText="1"/>
    </xf>
    <xf numFmtId="0" fontId="4" fillId="0" borderId="0" xfId="0" applyFont="1" applyAlignment="1">
      <alignment horizontal="right" vertical="top"/>
    </xf>
    <xf numFmtId="0" fontId="44" fillId="0" borderId="0" xfId="0" applyFont="1" applyAlignment="1">
      <alignment horizontal="center"/>
    </xf>
    <xf numFmtId="0" fontId="6" fillId="0" borderId="0" xfId="0" applyFont="1" applyAlignment="1">
      <alignment horizontal="center"/>
    </xf>
    <xf numFmtId="172" fontId="5" fillId="0" borderId="0" xfId="0" applyNumberFormat="1" applyFont="1" applyAlignment="1">
      <alignment/>
    </xf>
    <xf numFmtId="0" fontId="5" fillId="0" borderId="10" xfId="0" applyFont="1" applyBorder="1" applyAlignment="1">
      <alignment horizontal="right" vertical="top" wrapText="1"/>
    </xf>
    <xf numFmtId="186" fontId="0" fillId="0" borderId="10" xfId="0" applyNumberFormat="1" applyBorder="1" applyAlignment="1">
      <alignment horizontal="left" vertical="top" wrapText="1"/>
    </xf>
    <xf numFmtId="0" fontId="5" fillId="0" borderId="15" xfId="0" applyFont="1" applyBorder="1" applyAlignment="1">
      <alignment vertical="top" wrapText="1"/>
    </xf>
    <xf numFmtId="0" fontId="4" fillId="0" borderId="17" xfId="0" applyFont="1" applyBorder="1" applyAlignment="1">
      <alignment vertical="top" wrapText="1"/>
    </xf>
    <xf numFmtId="0" fontId="5" fillId="0" borderId="17" xfId="0" applyFont="1" applyBorder="1" applyAlignment="1">
      <alignment vertical="top" wrapText="1"/>
    </xf>
    <xf numFmtId="0" fontId="5" fillId="0" borderId="16" xfId="0" applyFont="1" applyBorder="1" applyAlignment="1">
      <alignment vertical="top" wrapText="1"/>
    </xf>
    <xf numFmtId="172" fontId="5" fillId="0" borderId="15" xfId="0" applyNumberFormat="1" applyFont="1" applyBorder="1" applyAlignment="1">
      <alignment vertical="top" wrapText="1"/>
    </xf>
    <xf numFmtId="172" fontId="5" fillId="0" borderId="17" xfId="0" applyNumberFormat="1" applyFont="1" applyBorder="1" applyAlignment="1">
      <alignment vertical="top" wrapText="1"/>
    </xf>
    <xf numFmtId="172" fontId="5" fillId="0" borderId="16" xfId="0" applyNumberFormat="1" applyFont="1" applyBorder="1" applyAlignment="1">
      <alignment vertical="top" wrapText="1"/>
    </xf>
    <xf numFmtId="0" fontId="5" fillId="0" borderId="0" xfId="0" applyFont="1" applyAlignment="1">
      <alignment horizontal="right"/>
    </xf>
    <xf numFmtId="0" fontId="4" fillId="0" borderId="18"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1" xfId="0" applyFont="1" applyBorder="1" applyAlignment="1">
      <alignment vertical="top"/>
    </xf>
    <xf numFmtId="0" fontId="4" fillId="0" borderId="22" xfId="0" applyFont="1" applyBorder="1" applyAlignment="1">
      <alignment vertical="top"/>
    </xf>
    <xf numFmtId="0" fontId="11" fillId="0" borderId="0" xfId="0" applyFont="1" applyBorder="1" applyAlignment="1">
      <alignment horizontal="center" vertical="top"/>
    </xf>
    <xf numFmtId="0" fontId="22" fillId="0" borderId="0" xfId="0" applyFont="1" applyBorder="1" applyAlignment="1">
      <alignment horizontal="center" vertical="top"/>
    </xf>
    <xf numFmtId="0" fontId="5" fillId="0" borderId="0" xfId="0" applyFont="1" applyBorder="1" applyAlignment="1">
      <alignment horizontal="left" vertical="top" wrapText="1"/>
    </xf>
    <xf numFmtId="178" fontId="5" fillId="0" borderId="0" xfId="42" applyNumberFormat="1" applyFont="1" applyBorder="1" applyAlignment="1">
      <alignment vertical="top"/>
    </xf>
    <xf numFmtId="0" fontId="4" fillId="0" borderId="23"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5" fillId="0" borderId="19" xfId="0" applyFont="1" applyBorder="1" applyAlignment="1">
      <alignment horizontal="center" vertical="top"/>
    </xf>
    <xf numFmtId="0" fontId="5" fillId="0" borderId="21" xfId="0" applyFont="1" applyBorder="1" applyAlignment="1">
      <alignment horizontal="center" vertical="top"/>
    </xf>
    <xf numFmtId="0" fontId="17" fillId="0" borderId="21"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justify" vertical="top" wrapText="1"/>
    </xf>
    <xf numFmtId="0" fontId="4" fillId="0" borderId="21" xfId="0" applyFont="1" applyBorder="1" applyAlignment="1">
      <alignment horizontal="center" vertical="top"/>
    </xf>
    <xf numFmtId="181" fontId="5" fillId="0" borderId="0" xfId="57" applyNumberFormat="1" applyFont="1" applyAlignment="1">
      <alignment horizontal="right" vertical="center"/>
      <protection/>
    </xf>
    <xf numFmtId="172" fontId="5" fillId="0" borderId="10" xfId="0" applyNumberFormat="1" applyFont="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UTOAN1"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3"/>
  <dimension ref="A1:E17"/>
  <sheetViews>
    <sheetView zoomScalePageLayoutView="0" workbookViewId="0" topLeftCell="A1">
      <selection activeCell="B31" sqref="B31"/>
    </sheetView>
  </sheetViews>
  <sheetFormatPr defaultColWidth="9.140625" defaultRowHeight="12.75"/>
  <cols>
    <col min="3" max="3" width="20.8515625" style="0" bestFit="1" customWidth="1"/>
    <col min="4" max="4" width="13.00390625" style="0" bestFit="1" customWidth="1"/>
    <col min="5" max="5" width="12.00390625" style="0" bestFit="1" customWidth="1"/>
  </cols>
  <sheetData>
    <row r="1" spans="1:5" ht="12.75">
      <c r="A1" s="35" t="s">
        <v>69</v>
      </c>
      <c r="B1" s="35" t="s">
        <v>70</v>
      </c>
      <c r="C1" s="35" t="s">
        <v>71</v>
      </c>
      <c r="D1" s="35" t="s">
        <v>72</v>
      </c>
      <c r="E1" s="36" t="s">
        <v>73</v>
      </c>
    </row>
    <row r="2" spans="1:5" ht="12.75">
      <c r="A2" s="35" t="s">
        <v>74</v>
      </c>
      <c r="B2" s="35" t="s">
        <v>75</v>
      </c>
      <c r="C2" s="35" t="s">
        <v>76</v>
      </c>
      <c r="D2" s="35" t="s">
        <v>77</v>
      </c>
      <c r="E2" s="36" t="s">
        <v>78</v>
      </c>
    </row>
    <row r="3" spans="1:5" ht="13.5">
      <c r="A3" s="35" t="s">
        <v>79</v>
      </c>
      <c r="B3" s="35" t="s">
        <v>80</v>
      </c>
      <c r="C3" s="35" t="s">
        <v>81</v>
      </c>
      <c r="D3" s="37"/>
      <c r="E3" s="36" t="s">
        <v>24</v>
      </c>
    </row>
    <row r="4" spans="1:5" ht="12.75">
      <c r="A4" s="35" t="s">
        <v>82</v>
      </c>
      <c r="B4" s="35" t="s">
        <v>70</v>
      </c>
      <c r="C4" s="35" t="s">
        <v>83</v>
      </c>
      <c r="D4" s="35" t="s">
        <v>84</v>
      </c>
      <c r="E4" s="36" t="s">
        <v>85</v>
      </c>
    </row>
    <row r="5" spans="1:4" ht="12.75">
      <c r="A5" s="35" t="s">
        <v>86</v>
      </c>
      <c r="B5" s="35" t="s">
        <v>75</v>
      </c>
      <c r="C5" s="35" t="s">
        <v>87</v>
      </c>
      <c r="D5" s="35" t="s">
        <v>88</v>
      </c>
    </row>
    <row r="6" spans="1:4" ht="12.75">
      <c r="A6" s="35" t="s">
        <v>89</v>
      </c>
      <c r="B6" s="35" t="s">
        <v>90</v>
      </c>
      <c r="C6" s="35" t="s">
        <v>91</v>
      </c>
      <c r="D6" s="35" t="s">
        <v>92</v>
      </c>
    </row>
    <row r="7" spans="1:4" ht="12.75">
      <c r="A7" s="35" t="s">
        <v>93</v>
      </c>
      <c r="B7" s="35" t="s">
        <v>70</v>
      </c>
      <c r="C7" s="35" t="s">
        <v>94</v>
      </c>
      <c r="D7" s="35" t="s">
        <v>72</v>
      </c>
    </row>
    <row r="8" spans="1:4" ht="12.75">
      <c r="A8" s="35" t="s">
        <v>95</v>
      </c>
      <c r="B8" s="35" t="s">
        <v>75</v>
      </c>
      <c r="C8" s="35" t="s">
        <v>96</v>
      </c>
      <c r="D8" s="35" t="s">
        <v>70</v>
      </c>
    </row>
    <row r="9" spans="1:3" ht="12.75">
      <c r="A9" s="35" t="s">
        <v>97</v>
      </c>
      <c r="B9" s="35" t="s">
        <v>98</v>
      </c>
      <c r="C9" s="35" t="s">
        <v>99</v>
      </c>
    </row>
    <row r="10" spans="1:3" ht="12.75">
      <c r="A10" s="35" t="s">
        <v>100</v>
      </c>
      <c r="B10" s="35" t="s">
        <v>70</v>
      </c>
      <c r="C10" s="35" t="s">
        <v>101</v>
      </c>
    </row>
    <row r="11" spans="2:3" ht="12.75">
      <c r="B11" s="35" t="s">
        <v>75</v>
      </c>
      <c r="C11" s="35" t="s">
        <v>102</v>
      </c>
    </row>
    <row r="12" spans="2:3" ht="12.75">
      <c r="B12" s="35" t="s">
        <v>80</v>
      </c>
      <c r="C12" s="35" t="s">
        <v>103</v>
      </c>
    </row>
    <row r="13" ht="12.75">
      <c r="B13" s="35" t="s">
        <v>70</v>
      </c>
    </row>
    <row r="14" ht="12.75">
      <c r="B14" s="35" t="s">
        <v>75</v>
      </c>
    </row>
    <row r="15" ht="12.75">
      <c r="B15" s="35" t="s">
        <v>70</v>
      </c>
    </row>
    <row r="16" ht="13.5">
      <c r="B16" s="37"/>
    </row>
    <row r="17" ht="12.75">
      <c r="B17" s="35" t="s">
        <v>75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8"/>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6"/>
  <dimension ref="A1:Q7"/>
  <sheetViews>
    <sheetView zoomScalePageLayoutView="0" workbookViewId="0" topLeftCell="A1">
      <selection activeCell="A1" sqref="A1"/>
    </sheetView>
  </sheetViews>
  <sheetFormatPr defaultColWidth="9.140625" defaultRowHeight="12.75"/>
  <cols>
    <col min="1" max="1" width="5.7109375" style="62" customWidth="1"/>
    <col min="2" max="2" width="10.7109375" style="62" customWidth="1"/>
    <col min="3" max="3" width="35.7109375" style="62" customWidth="1"/>
    <col min="4" max="4" width="10.7109375" style="62" customWidth="1"/>
    <col min="5" max="7" width="13.7109375" style="62" customWidth="1"/>
    <col min="8" max="16384" width="9.140625" style="62" customWidth="1"/>
  </cols>
  <sheetData>
    <row r="1" spans="1:7" ht="22.5">
      <c r="A1" s="63" t="str">
        <f>Info!B9</f>
        <v>PHÂN TÍCH ĐƠN GIÁ VỮA</v>
      </c>
      <c r="B1" s="63"/>
      <c r="C1" s="63"/>
      <c r="D1" s="63"/>
      <c r="E1" s="63"/>
      <c r="F1" s="63"/>
      <c r="G1" s="63"/>
    </row>
    <row r="2" spans="1:7" ht="18.75">
      <c r="A2" s="64" t="str">
        <f>"CÔNG TRÌNH: "&amp;Info!B1</f>
        <v>CÔNG TRÌNH: ĐƠN GIÁ XÂY DỰNG CÔNG TRÌNH</v>
      </c>
      <c r="B2" s="64"/>
      <c r="C2" s="64"/>
      <c r="D2" s="64"/>
      <c r="E2" s="64"/>
      <c r="F2" s="64"/>
      <c r="G2" s="64"/>
    </row>
    <row r="3" spans="1:7" ht="18.75">
      <c r="A3" s="64" t="str">
        <f>"HẠNG MỤC: "&amp;Info!B2</f>
        <v>HẠNG MỤC: XÂY DỰNG MỚI</v>
      </c>
      <c r="B3" s="64"/>
      <c r="C3" s="64"/>
      <c r="D3" s="64"/>
      <c r="E3" s="64"/>
      <c r="F3" s="64"/>
      <c r="G3" s="64"/>
    </row>
    <row r="4" spans="1:7" ht="15.75">
      <c r="A4" s="91"/>
      <c r="B4" s="91"/>
      <c r="C4" s="91"/>
      <c r="D4" s="91"/>
      <c r="E4" s="91"/>
      <c r="F4" s="91"/>
      <c r="G4" s="91"/>
    </row>
    <row r="5" spans="1:17" ht="15.75">
      <c r="A5" s="69" t="s">
        <v>149</v>
      </c>
      <c r="B5" s="69" t="s">
        <v>150</v>
      </c>
      <c r="C5" s="69" t="s">
        <v>243</v>
      </c>
      <c r="D5" s="69" t="s">
        <v>152</v>
      </c>
      <c r="E5" s="69" t="s">
        <v>153</v>
      </c>
      <c r="F5" s="69" t="s">
        <v>156</v>
      </c>
      <c r="G5" s="69" t="s">
        <v>161</v>
      </c>
      <c r="H5" s="65"/>
      <c r="I5" s="65"/>
      <c r="J5" s="65"/>
      <c r="K5" s="65"/>
      <c r="L5" s="65"/>
      <c r="M5" s="65"/>
      <c r="N5" s="65"/>
      <c r="O5" s="65"/>
      <c r="P5" s="65"/>
      <c r="Q5" s="65"/>
    </row>
    <row r="6" spans="1:17" ht="15.75">
      <c r="A6" s="113" t="s">
        <v>179</v>
      </c>
      <c r="B6" s="113" t="s">
        <v>180</v>
      </c>
      <c r="C6" s="113" t="s">
        <v>181</v>
      </c>
      <c r="D6" s="113" t="s">
        <v>182</v>
      </c>
      <c r="E6" s="113" t="s">
        <v>183</v>
      </c>
      <c r="F6" s="113" t="s">
        <v>184</v>
      </c>
      <c r="G6" s="113" t="s">
        <v>185</v>
      </c>
      <c r="H6" s="65"/>
      <c r="I6" s="65"/>
      <c r="J6" s="65"/>
      <c r="K6" s="65"/>
      <c r="L6" s="65"/>
      <c r="M6" s="65"/>
      <c r="N6" s="65"/>
      <c r="O6" s="65"/>
      <c r="P6" s="65"/>
      <c r="Q6" s="65"/>
    </row>
    <row r="7" spans="1:7" ht="15.75">
      <c r="A7" s="142" t="s">
        <v>244</v>
      </c>
      <c r="B7" s="46"/>
      <c r="C7" s="46"/>
      <c r="D7" s="46"/>
      <c r="E7" s="46"/>
      <c r="F7" s="46"/>
      <c r="G7" s="46"/>
    </row>
  </sheetData>
  <sheetProtection/>
  <mergeCells count="4">
    <mergeCell ref="A1:G1"/>
    <mergeCell ref="A2:G2"/>
    <mergeCell ref="A3:G3"/>
    <mergeCell ref="A7:G7"/>
  </mergeCells>
  <printOptions/>
  <pageMargins left="0.75" right="0.75" top="0.003472222222222222" bottom="0.003472222222222222" header="0.5" footer="0"/>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A7" sqref="A7"/>
    </sheetView>
  </sheetViews>
  <sheetFormatPr defaultColWidth="9.140625" defaultRowHeight="12.75"/>
  <cols>
    <col min="1" max="16384" width="9.140625" style="1" customWidth="1"/>
  </cols>
  <sheetData/>
  <sheetProtection/>
  <printOptions horizontalCentered="1"/>
  <pageMargins left="0.75" right="0.75" top="1" bottom="1" header="0.5" footer="0"/>
  <pageSetup horizontalDpi="180" verticalDpi="180" orientation="portrait" paperSize="9" scale="95" r:id="rId1"/>
  <headerFooter alignWithMargins="0">
    <oddFooter>&amp;R&amp;"Vni-Times"&amp;07 Trang &amp;P / &amp;N  Coâng Trình : Cong Trinh Mau - Haïng Muïc : Hang Muc Mau</oddFooter>
  </headerFooter>
</worksheet>
</file>

<file path=xl/worksheets/sheet13.xml><?xml version="1.0" encoding="utf-8"?>
<worksheet xmlns="http://schemas.openxmlformats.org/spreadsheetml/2006/main" xmlns:r="http://schemas.openxmlformats.org/officeDocument/2006/relationships">
  <sheetPr codeName="Sheet9"/>
  <dimension ref="A1:F7"/>
  <sheetViews>
    <sheetView zoomScalePageLayoutView="0" workbookViewId="0" topLeftCell="A1">
      <selection activeCell="E36" sqref="E36"/>
    </sheetView>
  </sheetViews>
  <sheetFormatPr defaultColWidth="9.140625" defaultRowHeight="12.75"/>
  <cols>
    <col min="1" max="1" width="6.7109375" style="62" customWidth="1"/>
    <col min="2" max="2" width="35.7109375" style="62" customWidth="1"/>
    <col min="3" max="3" width="10.7109375" style="62" customWidth="1"/>
    <col min="4" max="5" width="13.7109375" style="62" customWidth="1"/>
    <col min="6" max="6" width="15.7109375" style="62" customWidth="1"/>
    <col min="7" max="16384" width="9.140625" style="62" customWidth="1"/>
  </cols>
  <sheetData>
    <row r="1" spans="1:6" ht="22.5">
      <c r="A1" s="63" t="str">
        <f>Info!B11</f>
        <v>BẢNG MUA SẮM THIẾT BỊ</v>
      </c>
      <c r="B1" s="63"/>
      <c r="C1" s="63"/>
      <c r="D1" s="63"/>
      <c r="E1" s="63"/>
      <c r="F1" s="63"/>
    </row>
    <row r="2" spans="1:6" ht="18.75">
      <c r="A2" s="64" t="str">
        <f>"CÔNG TRÌNH: "&amp;Info!B1</f>
        <v>CÔNG TRÌNH: ĐƠN GIÁ XÂY DỰNG CÔNG TRÌNH</v>
      </c>
      <c r="B2" s="64"/>
      <c r="C2" s="64"/>
      <c r="D2" s="64"/>
      <c r="E2" s="64"/>
      <c r="F2" s="64"/>
    </row>
    <row r="3" spans="1:6" ht="18.75">
      <c r="A3" s="64" t="str">
        <f>"HẠNG MỤC: "&amp;Info!B2</f>
        <v>HẠNG MỤC: XÂY DỰNG MỚI</v>
      </c>
      <c r="B3" s="64"/>
      <c r="C3" s="64"/>
      <c r="D3" s="64"/>
      <c r="E3" s="64"/>
      <c r="F3" s="64"/>
    </row>
    <row r="4" spans="1:6" ht="18.75">
      <c r="A4" s="64">
        <f>Info!B23</f>
        <v>0</v>
      </c>
      <c r="B4" s="64"/>
      <c r="C4" s="64"/>
      <c r="D4" s="64"/>
      <c r="E4" s="64"/>
      <c r="F4" s="64"/>
    </row>
    <row r="6" spans="1:6" ht="15.75">
      <c r="A6" s="69" t="s">
        <v>149</v>
      </c>
      <c r="B6" s="69" t="s">
        <v>248</v>
      </c>
      <c r="C6" s="69" t="s">
        <v>152</v>
      </c>
      <c r="D6" s="69" t="s">
        <v>249</v>
      </c>
      <c r="E6" s="69" t="s">
        <v>156</v>
      </c>
      <c r="F6" s="69" t="s">
        <v>161</v>
      </c>
    </row>
    <row r="7" spans="1:6" ht="15.75">
      <c r="A7" s="113" t="s">
        <v>179</v>
      </c>
      <c r="B7" s="113" t="s">
        <v>180</v>
      </c>
      <c r="C7" s="113" t="s">
        <v>181</v>
      </c>
      <c r="D7" s="113" t="s">
        <v>182</v>
      </c>
      <c r="E7" s="113" t="s">
        <v>183</v>
      </c>
      <c r="F7" s="113" t="s">
        <v>184</v>
      </c>
    </row>
  </sheetData>
  <sheetProtection/>
  <mergeCells count="4">
    <mergeCell ref="A1:F1"/>
    <mergeCell ref="A2:F2"/>
    <mergeCell ref="A3:F3"/>
    <mergeCell ref="A4:F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0"/>
  <dimension ref="A1:E32"/>
  <sheetViews>
    <sheetView view="pageBreakPreview" zoomScaleSheetLayoutView="100" zoomScalePageLayoutView="0" workbookViewId="0" topLeftCell="A1">
      <pane ySplit="9" topLeftCell="BM10" activePane="bottomLeft" state="frozen"/>
      <selection pane="topLeft" activeCell="A1" sqref="A1"/>
      <selection pane="bottomLeft" activeCell="A10" sqref="A10"/>
    </sheetView>
  </sheetViews>
  <sheetFormatPr defaultColWidth="9.140625" defaultRowHeight="12.75"/>
  <cols>
    <col min="1" max="1" width="50.7109375" style="62" customWidth="1"/>
    <col min="2" max="2" width="30.7109375" style="62" customWidth="1"/>
    <col min="3" max="3" width="20.7109375" style="62" customWidth="1"/>
    <col min="4" max="4" width="10.7109375" style="62" customWidth="1"/>
    <col min="5" max="5" width="25.7109375" style="62" hidden="1" customWidth="1"/>
    <col min="6" max="16384" width="9.140625" style="62" customWidth="1"/>
  </cols>
  <sheetData>
    <row r="1" spans="1:5" ht="22.5">
      <c r="A1" s="63" t="str">
        <f>Info!B12</f>
        <v>BẢNG TỔNG HỢP DỰ TOÁN CHI PHÍ XÂY DỰNG</v>
      </c>
      <c r="B1" s="63"/>
      <c r="C1" s="63"/>
      <c r="D1" s="63"/>
      <c r="E1" s="63"/>
    </row>
    <row r="2" spans="1:5" ht="18.75">
      <c r="A2" s="64" t="str">
        <f>"CÔNG TRÌNH: "&amp;Info!B1</f>
        <v>CÔNG TRÌNH: ĐƠN GIÁ XÂY DỰNG CÔNG TRÌNH</v>
      </c>
      <c r="B2" s="64"/>
      <c r="C2" s="64"/>
      <c r="D2" s="64"/>
      <c r="E2" s="64"/>
    </row>
    <row r="3" spans="1:5" ht="18.75">
      <c r="A3" s="64" t="str">
        <f>"HẠNG MỤC: "&amp;Info!B2</f>
        <v>HẠNG MỤC: XÂY DỰNG MỚI</v>
      </c>
      <c r="B3" s="64"/>
      <c r="C3" s="64"/>
      <c r="D3" s="64"/>
      <c r="E3" s="64"/>
    </row>
    <row r="4" ht="15.75" hidden="1"/>
    <row r="5" spans="2:4" ht="15.75" hidden="1">
      <c r="B5" s="62" t="s">
        <v>250</v>
      </c>
      <c r="C5" s="73">
        <f>'BANG KHOI LUONG'!K16+'BANG KHOI LUONG'!L16</f>
        <v>76797840</v>
      </c>
      <c r="D5" s="65" t="s">
        <v>176</v>
      </c>
    </row>
    <row r="6" spans="2:4" ht="15.75" hidden="1">
      <c r="B6" s="62" t="s">
        <v>251</v>
      </c>
      <c r="C6" s="73">
        <f>'BANG KHOI LUONG'!M16</f>
        <v>8714430</v>
      </c>
      <c r="D6" s="65" t="s">
        <v>177</v>
      </c>
    </row>
    <row r="7" spans="1:5" ht="15.75" hidden="1">
      <c r="A7" s="92"/>
      <c r="B7" s="92" t="s">
        <v>252</v>
      </c>
      <c r="C7" s="156">
        <f>'BANG KHOI LUONG'!N16</f>
        <v>2071200</v>
      </c>
      <c r="D7" s="157" t="s">
        <v>178</v>
      </c>
      <c r="E7" s="92"/>
    </row>
    <row r="8" spans="1:5" ht="15.75">
      <c r="A8" s="92"/>
      <c r="B8" s="92"/>
      <c r="C8" s="92"/>
      <c r="D8" s="92"/>
      <c r="E8" s="92"/>
    </row>
    <row r="9" spans="1:5" ht="15.75">
      <c r="A9" s="88" t="s">
        <v>253</v>
      </c>
      <c r="B9" s="88" t="s">
        <v>254</v>
      </c>
      <c r="C9" s="88" t="s">
        <v>161</v>
      </c>
      <c r="D9" s="88" t="s">
        <v>255</v>
      </c>
      <c r="E9" s="88" t="s">
        <v>256</v>
      </c>
    </row>
    <row r="10" spans="1:5" ht="15.75">
      <c r="A10" s="149" t="s">
        <v>257</v>
      </c>
      <c r="B10" s="117"/>
      <c r="C10" s="132"/>
      <c r="D10" s="150" t="s">
        <v>258</v>
      </c>
      <c r="E10" s="117"/>
    </row>
    <row r="11" spans="1:5" ht="15.75">
      <c r="A11" s="104" t="s">
        <v>259</v>
      </c>
      <c r="B11" s="104" t="s">
        <v>176</v>
      </c>
      <c r="C11" s="151">
        <f>ROUND(C5,0)</f>
        <v>76797840</v>
      </c>
      <c r="D11" s="119" t="s">
        <v>260</v>
      </c>
      <c r="E11" s="104"/>
    </row>
    <row r="12" spans="1:5" ht="15.75">
      <c r="A12" s="104" t="s">
        <v>261</v>
      </c>
      <c r="B12" s="104" t="str">
        <f>"B1*"&amp;TEXT(Info!B61,Info!C61)</f>
        <v>B1*5,714</v>
      </c>
      <c r="C12" s="151">
        <f>ROUND(C6*Info!B61,0)</f>
        <v>49794253</v>
      </c>
      <c r="D12" s="119" t="s">
        <v>262</v>
      </c>
      <c r="E12" s="104"/>
    </row>
    <row r="13" spans="1:5" ht="15.75">
      <c r="A13" s="104" t="s">
        <v>263</v>
      </c>
      <c r="B13" s="104" t="str">
        <f>"C1*"&amp;TEXT(Info!B62,Info!C62)</f>
        <v>C1*1,82</v>
      </c>
      <c r="C13" s="151">
        <f>ROUND(C7*Info!B62,0)</f>
        <v>3769584</v>
      </c>
      <c r="D13" s="119" t="s">
        <v>264</v>
      </c>
      <c r="E13" s="104"/>
    </row>
    <row r="14" spans="1:5" ht="15.75">
      <c r="A14" s="104" t="s">
        <v>265</v>
      </c>
      <c r="B14" s="104" t="str">
        <f>"(VL+NC+M)*"&amp;TEXT(Info!B63,Info!C63)</f>
        <v>(VL+NC+M)*2%</v>
      </c>
      <c r="C14" s="151">
        <f>ROUND((C11+C12+C13)*Info!B63,0)</f>
        <v>2607234</v>
      </c>
      <c r="D14" s="119" t="s">
        <v>170</v>
      </c>
      <c r="E14" s="104"/>
    </row>
    <row r="15" spans="1:5" ht="15.75">
      <c r="A15" s="152" t="s">
        <v>266</v>
      </c>
      <c r="B15" s="104" t="s">
        <v>282</v>
      </c>
      <c r="C15" s="151">
        <f>ROUND(C11+C12+C13+C14,0)</f>
        <v>132968911</v>
      </c>
      <c r="D15" s="153" t="s">
        <v>267</v>
      </c>
      <c r="E15" s="104"/>
    </row>
    <row r="16" spans="1:5" ht="15.75">
      <c r="A16" s="152" t="s">
        <v>268</v>
      </c>
      <c r="B16" s="104" t="str">
        <f>"T*"&amp;TEXT(Info!B64,Info!C64)</f>
        <v>T*6,5%</v>
      </c>
      <c r="C16" s="151">
        <f>ROUND(C15*Info!B64,0)</f>
        <v>8642979</v>
      </c>
      <c r="D16" s="153" t="s">
        <v>269</v>
      </c>
      <c r="E16" s="104"/>
    </row>
    <row r="17" spans="1:5" ht="15.75">
      <c r="A17" s="152" t="s">
        <v>270</v>
      </c>
      <c r="B17" s="104" t="str">
        <f>"(T+C)*"&amp;TEXT(Info!B65,Info!C65)</f>
        <v>(T+C)*5,5%</v>
      </c>
      <c r="C17" s="151">
        <f>ROUND((C15+C16)*Info!B65,0)</f>
        <v>7788654</v>
      </c>
      <c r="D17" s="153" t="s">
        <v>271</v>
      </c>
      <c r="E17" s="104"/>
    </row>
    <row r="18" spans="1:5" ht="15.75">
      <c r="A18" s="152" t="s">
        <v>272</v>
      </c>
      <c r="B18" s="104" t="s">
        <v>283</v>
      </c>
      <c r="C18" s="151">
        <f>ROUND((C15+C16+C17),0)</f>
        <v>149400544</v>
      </c>
      <c r="D18" s="153" t="s">
        <v>273</v>
      </c>
      <c r="E18" s="104"/>
    </row>
    <row r="19" spans="1:5" ht="15.75">
      <c r="A19" s="152" t="s">
        <v>274</v>
      </c>
      <c r="B19" s="104" t="str">
        <f>"G*"&amp;TEXT(Info!B66,Info!C66)</f>
        <v>G*10%</v>
      </c>
      <c r="C19" s="151">
        <f>ROUND(C18*Info!B66,0)</f>
        <v>14940054</v>
      </c>
      <c r="D19" s="153" t="s">
        <v>275</v>
      </c>
      <c r="E19" s="104"/>
    </row>
    <row r="20" spans="1:5" ht="15.75">
      <c r="A20" s="152" t="s">
        <v>276</v>
      </c>
      <c r="B20" s="104" t="s">
        <v>284</v>
      </c>
      <c r="C20" s="151">
        <f>ROUND(C18+C19,0)</f>
        <v>164340598</v>
      </c>
      <c r="D20" s="153" t="s">
        <v>277</v>
      </c>
      <c r="E20" s="104"/>
    </row>
    <row r="21" spans="1:5" ht="31.5">
      <c r="A21" s="152" t="s">
        <v>278</v>
      </c>
      <c r="B21" s="104" t="str">
        <f>"G*"&amp;TEXT(Info!B67,Info!C67)&amp;"*"&amp;TEXT(Info!D67,Info!E67)</f>
        <v>G*1%*1,1</v>
      </c>
      <c r="C21" s="151">
        <f>ROUND(C18*Info!B67*Info!D67,0)</f>
        <v>1643406</v>
      </c>
      <c r="D21" s="153" t="s">
        <v>279</v>
      </c>
      <c r="E21" s="104"/>
    </row>
    <row r="22" spans="1:5" ht="15.75">
      <c r="A22" s="154" t="s">
        <v>280</v>
      </c>
      <c r="B22" s="99" t="s">
        <v>285</v>
      </c>
      <c r="C22" s="133">
        <f>ROUND(C20+C21,0)</f>
        <v>165984004</v>
      </c>
      <c r="D22" s="155" t="s">
        <v>281</v>
      </c>
      <c r="E22" s="99"/>
    </row>
    <row r="23" spans="1:5" ht="15.75">
      <c r="A23" s="92"/>
      <c r="B23" s="158" t="s">
        <v>286</v>
      </c>
      <c r="C23" s="159">
        <f>ROUND(C22,-3)</f>
        <v>165984000</v>
      </c>
      <c r="D23" s="92"/>
      <c r="E23" s="92"/>
    </row>
    <row r="24" spans="1:5" ht="15.75">
      <c r="A24" s="160" t="str">
        <f>"Bằng chữ: "&amp;bangchu(C23,"đồng")</f>
        <v>Bằng chữ: Một trăm sáu mươi lăm triệu chín trăm tám mươi bốn ngàn đồng</v>
      </c>
      <c r="B24" s="160"/>
      <c r="C24" s="160"/>
      <c r="D24" s="160"/>
      <c r="E24" s="160"/>
    </row>
    <row r="27" spans="1:3" ht="15.75">
      <c r="A27" s="65" t="s">
        <v>287</v>
      </c>
      <c r="C27" s="65" t="s">
        <v>288</v>
      </c>
    </row>
    <row r="31" spans="1:3" ht="15.75">
      <c r="A31" s="65" t="s">
        <v>289</v>
      </c>
      <c r="C31" s="65" t="s">
        <v>289</v>
      </c>
    </row>
    <row r="32" spans="2:4" ht="15.75">
      <c r="B32" s="161" t="s">
        <v>290</v>
      </c>
      <c r="C32" s="161"/>
      <c r="D32" s="161"/>
    </row>
  </sheetData>
  <sheetProtection/>
  <mergeCells count="5">
    <mergeCell ref="B32:D32"/>
    <mergeCell ref="A1:E1"/>
    <mergeCell ref="A2:E2"/>
    <mergeCell ref="A3:E3"/>
    <mergeCell ref="A24:E24"/>
  </mergeCells>
  <printOptions horizontalCentered="1"/>
  <pageMargins left="0" right="0" top="0.4" bottom="0.6" header="0.5" footer="0.2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G44"/>
  <sheetViews>
    <sheetView view="pageBreakPreview" zoomScaleSheetLayoutView="100" workbookViewId="0" topLeftCell="A21">
      <selection activeCell="A1" sqref="A1:F1"/>
    </sheetView>
  </sheetViews>
  <sheetFormatPr defaultColWidth="9.140625" defaultRowHeight="12.75"/>
  <cols>
    <col min="1" max="1" width="5.7109375" style="2" customWidth="1"/>
    <col min="2" max="2" width="50.7109375" style="2" customWidth="1"/>
    <col min="3" max="3" width="19.7109375" style="2" customWidth="1"/>
    <col min="4" max="5" width="17.7109375" style="2" customWidth="1"/>
    <col min="6" max="6" width="13.7109375" style="2" customWidth="1"/>
    <col min="7" max="16384" width="9.140625" style="2" customWidth="1"/>
  </cols>
  <sheetData>
    <row r="1" spans="1:6" ht="20.25">
      <c r="A1" s="162" t="str">
        <f>Info!B34</f>
        <v>BẢNG TỔNG HỢP DỰ TOÁN CÔNG TRÌNH</v>
      </c>
      <c r="B1" s="162"/>
      <c r="C1" s="162"/>
      <c r="D1" s="162"/>
      <c r="E1" s="162"/>
      <c r="F1" s="162"/>
    </row>
    <row r="2" spans="1:6" ht="18.75">
      <c r="A2" s="163" t="str">
        <f>"CÔNG TRÌNH: "&amp;Info!B1</f>
        <v>CÔNG TRÌNH: ĐƠN GIÁ XÂY DỰNG CÔNG TRÌNH</v>
      </c>
      <c r="B2" s="163"/>
      <c r="C2" s="163"/>
      <c r="D2" s="163"/>
      <c r="E2" s="163"/>
      <c r="F2" s="163"/>
    </row>
    <row r="3" spans="1:6" ht="15.75">
      <c r="A3" s="40"/>
      <c r="B3" s="40"/>
      <c r="C3" s="40"/>
      <c r="D3" s="40"/>
      <c r="E3" s="40"/>
      <c r="F3" s="40"/>
    </row>
    <row r="5" spans="1:7" ht="31.5">
      <c r="A5" s="88" t="s">
        <v>149</v>
      </c>
      <c r="B5" s="88" t="s">
        <v>291</v>
      </c>
      <c r="C5" s="88" t="s">
        <v>292</v>
      </c>
      <c r="D5" s="88" t="s">
        <v>293</v>
      </c>
      <c r="E5" s="88" t="s">
        <v>294</v>
      </c>
      <c r="F5" s="88" t="s">
        <v>295</v>
      </c>
      <c r="G5" s="45"/>
    </row>
    <row r="6" spans="1:6" ht="15.75">
      <c r="A6" s="74">
        <v>1</v>
      </c>
      <c r="B6" s="77" t="str">
        <f>Info!B2</f>
        <v>XÂY DỰNG MỚI</v>
      </c>
      <c r="C6" s="79">
        <f>ROUND(INDEX(THKP!C7:C22,MATCH("G",THKP!D7:D22,0)),0)</f>
        <v>149400544</v>
      </c>
      <c r="D6" s="79">
        <f>ROUND(INDEX(THKP!C7:C22,MATCH("GTGT",THKP!D7:D22,0)),0)</f>
        <v>14940054</v>
      </c>
      <c r="E6" s="79">
        <f>ROUND(INDEX(THKP!C7:C22,MATCH("GXDNT",THKP!D7:D22,0)),0)</f>
        <v>1643406</v>
      </c>
      <c r="F6" s="79">
        <v>0</v>
      </c>
    </row>
    <row r="7" spans="1:6" ht="15.75">
      <c r="A7" s="165" t="s">
        <v>296</v>
      </c>
      <c r="B7" s="165"/>
      <c r="C7" s="84">
        <f>SUM(C6:C6)</f>
        <v>149400544</v>
      </c>
      <c r="D7" s="84">
        <f>SUM(D6:D6)</f>
        <v>14940054</v>
      </c>
      <c r="E7" s="84">
        <f>SUM(E6:E6)</f>
        <v>1643406</v>
      </c>
      <c r="F7" s="84">
        <f>SUM(F6:F6)</f>
        <v>0</v>
      </c>
    </row>
    <row r="8" spans="1:6" ht="15.75">
      <c r="A8" s="129" t="s">
        <v>297</v>
      </c>
      <c r="B8" s="129"/>
      <c r="C8" s="74" t="s">
        <v>298</v>
      </c>
      <c r="D8" s="74" t="s">
        <v>299</v>
      </c>
      <c r="E8" s="74" t="s">
        <v>300</v>
      </c>
      <c r="F8" s="74" t="s">
        <v>301</v>
      </c>
    </row>
    <row r="10" spans="1:6" ht="15.75">
      <c r="A10" s="68" t="s">
        <v>253</v>
      </c>
      <c r="B10" s="68"/>
      <c r="C10" s="68" t="s">
        <v>254</v>
      </c>
      <c r="D10" s="68"/>
      <c r="E10" s="69" t="s">
        <v>161</v>
      </c>
      <c r="F10" s="69" t="s">
        <v>255</v>
      </c>
    </row>
    <row r="11" spans="1:6" ht="15.75">
      <c r="A11" s="167" t="s">
        <v>302</v>
      </c>
      <c r="B11" s="167"/>
      <c r="C11" s="167" t="s">
        <v>365</v>
      </c>
      <c r="D11" s="167"/>
      <c r="E11" s="171">
        <f>ROUND(E12+E13,0)</f>
        <v>165984004</v>
      </c>
      <c r="F11" s="150" t="s">
        <v>277</v>
      </c>
    </row>
    <row r="12" spans="1:6" ht="15.75">
      <c r="A12" s="168" t="s">
        <v>303</v>
      </c>
      <c r="B12" s="168"/>
      <c r="C12" s="168" t="str">
        <f>"G+(GXDNT/"&amp;TEXT(Info!B91,Info!C91)&amp;")"</f>
        <v>G+(GXDNT/1,1)</v>
      </c>
      <c r="D12" s="168"/>
      <c r="E12" s="151">
        <f>ROUND(C7+(E7/Info!B91),0)</f>
        <v>150894549</v>
      </c>
      <c r="F12" s="119" t="s">
        <v>304</v>
      </c>
    </row>
    <row r="13" spans="1:6" ht="15.75">
      <c r="A13" s="168" t="s">
        <v>305</v>
      </c>
      <c r="B13" s="168"/>
      <c r="C13" s="168" t="str">
        <f>"GTGT+(GXDNT/"&amp;TEXT(Info!B92,Info!C92)&amp;"*"&amp;TEXT(Info!D92,Info!E92)&amp;")"</f>
        <v>GTGT+(GXDNT/1,1*0,1)</v>
      </c>
      <c r="D13" s="168"/>
      <c r="E13" s="151">
        <f>ROUND(D7+(E7/Info!B92*Info!D92),0)</f>
        <v>15089455</v>
      </c>
      <c r="F13" s="119" t="s">
        <v>306</v>
      </c>
    </row>
    <row r="14" spans="1:6" ht="15.75" hidden="1">
      <c r="A14" s="168" t="s">
        <v>307</v>
      </c>
      <c r="B14" s="168"/>
      <c r="C14" s="168" t="s">
        <v>279</v>
      </c>
      <c r="D14" s="168"/>
      <c r="E14" s="151">
        <f>ROUND(E7,0)</f>
        <v>1643406</v>
      </c>
      <c r="F14" s="119" t="s">
        <v>308</v>
      </c>
    </row>
    <row r="15" spans="1:6" ht="15.75" hidden="1">
      <c r="A15" s="169" t="s">
        <v>309</v>
      </c>
      <c r="B15" s="169"/>
      <c r="C15" s="169" t="s">
        <v>310</v>
      </c>
      <c r="D15" s="169"/>
      <c r="E15" s="172">
        <f>ROUND(F7,0)</f>
        <v>0</v>
      </c>
      <c r="F15" s="153" t="s">
        <v>310</v>
      </c>
    </row>
    <row r="16" spans="1:6" ht="15.75">
      <c r="A16" s="169" t="s">
        <v>311</v>
      </c>
      <c r="B16" s="169"/>
      <c r="C16" s="169" t="s">
        <v>314</v>
      </c>
      <c r="D16" s="169"/>
      <c r="E16" s="172">
        <f>ROUND(E17,0)</f>
        <v>4189436</v>
      </c>
      <c r="F16" s="153" t="s">
        <v>312</v>
      </c>
    </row>
    <row r="17" spans="1:6" ht="15.75">
      <c r="A17" s="168" t="s">
        <v>313</v>
      </c>
      <c r="B17" s="168"/>
      <c r="C17" s="168" t="str">
        <f>"(H+GTB/"&amp;TEXT(Info!B93,Info!C93)&amp;")*"&amp;TEXT(Info!D93,Info!E93)&amp;"*"&amp;TEXT(Info!F93,Info!G93)</f>
        <v>(H+GTB/1,1)*0,02524*1,1</v>
      </c>
      <c r="D17" s="168"/>
      <c r="E17" s="151">
        <f>ROUND((E12+F7/Info!B93)*Info!D93*Info!F93,0)</f>
        <v>4189436</v>
      </c>
      <c r="F17" s="119" t="s">
        <v>314</v>
      </c>
    </row>
    <row r="18" spans="1:6" ht="15.75">
      <c r="A18" s="169" t="s">
        <v>315</v>
      </c>
      <c r="B18" s="169"/>
      <c r="C18" s="169" t="s">
        <v>366</v>
      </c>
      <c r="D18" s="169"/>
      <c r="E18" s="172">
        <f>ROUND(E19+E20+E21+E22+E23+E24+E25+E26+E27+E28+E29,0)</f>
        <v>16118707</v>
      </c>
      <c r="F18" s="153" t="s">
        <v>316</v>
      </c>
    </row>
    <row r="19" spans="1:6" ht="15.75" hidden="1">
      <c r="A19" s="168" t="s">
        <v>317</v>
      </c>
      <c r="B19" s="168"/>
      <c r="C19" s="168" t="str">
        <f>"H*"&amp;TEXT(Info!B94,Info!C94)&amp;"*"&amp;TEXT(Info!D94,Info!E94)</f>
        <v>H*0*1,1</v>
      </c>
      <c r="D19" s="168"/>
      <c r="E19" s="151">
        <f>ROUND(E12*Info!B94*Info!D94,0)</f>
        <v>0</v>
      </c>
      <c r="F19" s="119" t="s">
        <v>318</v>
      </c>
    </row>
    <row r="20" spans="1:6" ht="15.75" hidden="1">
      <c r="A20" s="168" t="s">
        <v>319</v>
      </c>
      <c r="B20" s="168"/>
      <c r="C20" s="168" t="str">
        <f>"H*"&amp;TEXT(Info!B95,Info!C95)&amp;"*"&amp;TEXT(Info!D95,Info!E95)</f>
        <v>H*0*1,1</v>
      </c>
      <c r="D20" s="168"/>
      <c r="E20" s="151">
        <f>ROUND(E12*Info!B95*Info!D95,0)</f>
        <v>0</v>
      </c>
      <c r="F20" s="119" t="s">
        <v>320</v>
      </c>
    </row>
    <row r="21" spans="1:6" ht="15.75">
      <c r="A21" s="168" t="s">
        <v>321</v>
      </c>
      <c r="B21" s="168"/>
      <c r="C21" s="168" t="str">
        <f>"H*"&amp;TEXT(Info!B96,Info!C96)&amp;"*"&amp;TEXT(Info!D96,Info!E96)</f>
        <v>H*0,036*1,1</v>
      </c>
      <c r="D21" s="168"/>
      <c r="E21" s="151">
        <f>ROUND(E12*Info!B96*Info!D96,0)</f>
        <v>5975424</v>
      </c>
      <c r="F21" s="119" t="s">
        <v>322</v>
      </c>
    </row>
    <row r="22" spans="1:6" ht="15.75">
      <c r="A22" s="168" t="s">
        <v>323</v>
      </c>
      <c r="B22" s="168"/>
      <c r="C22" s="168" t="str">
        <f>"H*"&amp;TEXT(Info!B97,Info!C97)&amp;"*"&amp;TEXT(Info!D97,Info!E97)</f>
        <v>H*0,0274*1,1</v>
      </c>
      <c r="D22" s="168"/>
      <c r="E22" s="151">
        <f>ROUND(E12*Info!B97*Info!D97,0)</f>
        <v>4547962</v>
      </c>
      <c r="F22" s="119" t="s">
        <v>324</v>
      </c>
    </row>
    <row r="23" spans="1:6" ht="15.75">
      <c r="A23" s="168" t="s">
        <v>325</v>
      </c>
      <c r="B23" s="168"/>
      <c r="C23" s="168" t="str">
        <f>"H*"&amp;TEXT(Info!B98,Info!C98)&amp;"*"&amp;TEXT(Info!D98,Info!E98)</f>
        <v>H*0,00206*1,1</v>
      </c>
      <c r="D23" s="168"/>
      <c r="E23" s="151">
        <f>ROUND(E12*Info!B98*Info!D98,0)</f>
        <v>341927</v>
      </c>
      <c r="F23" s="119" t="s">
        <v>326</v>
      </c>
    </row>
    <row r="24" spans="1:6" ht="15.75">
      <c r="A24" s="168" t="s">
        <v>327</v>
      </c>
      <c r="B24" s="168"/>
      <c r="C24" s="168" t="str">
        <f>"H*"&amp;TEXT(Info!B99,Info!C99)&amp;"*"&amp;TEXT(Info!D99,Info!E99)</f>
        <v>H*0,002*1,1</v>
      </c>
      <c r="D24" s="168"/>
      <c r="E24" s="151">
        <f>ROUND(E12*Info!B99*Info!D99,0)</f>
        <v>331968</v>
      </c>
      <c r="F24" s="119" t="s">
        <v>328</v>
      </c>
    </row>
    <row r="25" spans="1:6" ht="15.75">
      <c r="A25" s="168" t="s">
        <v>329</v>
      </c>
      <c r="B25" s="168"/>
      <c r="C25" s="168" t="str">
        <f>"H*"&amp;TEXT(Info!B100,Info!C100)&amp;"*"&amp;TEXT(Info!D100,Info!E100)</f>
        <v>H*0,00337*1,1</v>
      </c>
      <c r="D25" s="168"/>
      <c r="E25" s="151">
        <f>ROUND(E12*Info!B100*Info!D100,0)</f>
        <v>559366</v>
      </c>
      <c r="F25" s="119" t="s">
        <v>330</v>
      </c>
    </row>
    <row r="26" spans="1:6" ht="15.75" hidden="1">
      <c r="A26" s="168" t="s">
        <v>331</v>
      </c>
      <c r="B26" s="168"/>
      <c r="C26" s="168" t="str">
        <f>"GTB*"&amp;TEXT(Info!B101,Info!C101)</f>
        <v>GTB*0,00287</v>
      </c>
      <c r="D26" s="168"/>
      <c r="E26" s="151">
        <f>ROUND(F7*Info!B101,0)</f>
        <v>0</v>
      </c>
      <c r="F26" s="119" t="s">
        <v>332</v>
      </c>
    </row>
    <row r="27" spans="1:6" ht="15.75">
      <c r="A27" s="168" t="s">
        <v>333</v>
      </c>
      <c r="B27" s="168"/>
      <c r="C27" s="168" t="str">
        <f>"H*"&amp;TEXT(Info!B102,Info!C102)&amp;"*"&amp;TEXT(Info!D102,Info!E102)</f>
        <v>H*0,02628*1,1</v>
      </c>
      <c r="D27" s="168"/>
      <c r="E27" s="151">
        <f>ROUND(E12*Info!B102*Info!D102,0)</f>
        <v>4362060</v>
      </c>
      <c r="F27" s="119" t="s">
        <v>334</v>
      </c>
    </row>
    <row r="28" spans="1:6" ht="15.75" hidden="1">
      <c r="A28" s="168" t="s">
        <v>335</v>
      </c>
      <c r="B28" s="168"/>
      <c r="C28" s="168" t="str">
        <f>"GTB*"&amp;TEXT(Info!B103,Info!C103)</f>
        <v>GTB*0,00675</v>
      </c>
      <c r="D28" s="168"/>
      <c r="E28" s="151">
        <f>ROUND(F7*Info!B103,0)</f>
        <v>0</v>
      </c>
      <c r="F28" s="119" t="s">
        <v>336</v>
      </c>
    </row>
    <row r="29" spans="1:6" ht="15.75" hidden="1">
      <c r="A29" s="168" t="s">
        <v>337</v>
      </c>
      <c r="B29" s="168"/>
      <c r="C29" s="168" t="str">
        <f>"H*"&amp;TEXT(Info!B104,Info!C104)&amp;"*"&amp;TEXT(Info!D104,Info!E104)</f>
        <v>H*0*1,1</v>
      </c>
      <c r="D29" s="168"/>
      <c r="E29" s="151">
        <f>ROUND(E12*Info!B104*Info!D104,0)</f>
        <v>0</v>
      </c>
      <c r="F29" s="119" t="s">
        <v>338</v>
      </c>
    </row>
    <row r="30" spans="1:6" ht="15.75">
      <c r="A30" s="169" t="s">
        <v>339</v>
      </c>
      <c r="B30" s="169"/>
      <c r="C30" s="169" t="s">
        <v>367</v>
      </c>
      <c r="D30" s="169"/>
      <c r="E30" s="172">
        <f>ROUND(E31+E32+E33+E34+E35+E36+E37,0)</f>
        <v>3784937</v>
      </c>
      <c r="F30" s="153" t="s">
        <v>340</v>
      </c>
    </row>
    <row r="31" spans="1:6" ht="15.75">
      <c r="A31" s="168" t="s">
        <v>341</v>
      </c>
      <c r="B31" s="168"/>
      <c r="C31" s="168" t="str">
        <f>"H*"&amp;TEXT(Info!B105,Info!C105)</f>
        <v>H*0,019%</v>
      </c>
      <c r="D31" s="168"/>
      <c r="E31" s="151">
        <f>ROUND(E12*Info!B105,0)</f>
        <v>28670</v>
      </c>
      <c r="F31" s="119" t="s">
        <v>342</v>
      </c>
    </row>
    <row r="32" spans="1:6" ht="15.75">
      <c r="A32" s="168" t="s">
        <v>343</v>
      </c>
      <c r="B32" s="168"/>
      <c r="C32" s="168" t="str">
        <f>"1000000"</f>
        <v>1000000</v>
      </c>
      <c r="D32" s="168"/>
      <c r="E32" s="151">
        <f>ROUND(1000000,0)</f>
        <v>1000000</v>
      </c>
      <c r="F32" s="119" t="s">
        <v>344</v>
      </c>
    </row>
    <row r="33" spans="1:6" ht="15.75" hidden="1">
      <c r="A33" s="168" t="s">
        <v>345</v>
      </c>
      <c r="B33" s="168"/>
      <c r="C33" s="168" t="str">
        <f>"H*"&amp;TEXT(Info!B107,Info!C107)&amp;"*"&amp;TEXT(Info!D107,Info!E107)</f>
        <v>H*0*1,1</v>
      </c>
      <c r="D33" s="168"/>
      <c r="E33" s="151">
        <f>ROUND(E12*Info!B107*Info!D107,0)</f>
        <v>0</v>
      </c>
      <c r="F33" s="119" t="s">
        <v>346</v>
      </c>
    </row>
    <row r="34" spans="1:6" ht="15.75">
      <c r="A34" s="168" t="s">
        <v>347</v>
      </c>
      <c r="B34" s="168"/>
      <c r="C34" s="168" t="str">
        <f>"Gtv4*"&amp;TEXT(Info!B108,Info!C108)&amp;"*"&amp;TEXT(Info!D108,Info!E108)</f>
        <v>Gtv4*5%*1,1</v>
      </c>
      <c r="D34" s="168"/>
      <c r="E34" s="151">
        <f>ROUND(E22*Info!B108*Info!D108,0)</f>
        <v>250138</v>
      </c>
      <c r="F34" s="119" t="s">
        <v>348</v>
      </c>
    </row>
    <row r="35" spans="1:6" ht="15.75">
      <c r="A35" s="168" t="s">
        <v>349</v>
      </c>
      <c r="B35" s="168"/>
      <c r="C35" s="168" t="str">
        <f>"H*"&amp;TEXT(Info!B109,Info!C109)&amp;"*"&amp;TEXT(Info!D109,Info!E109)</f>
        <v>H*0,00225*1,1</v>
      </c>
      <c r="D35" s="168"/>
      <c r="E35" s="151">
        <f>ROUND(E12*Info!B109*Info!D109,0)</f>
        <v>373464</v>
      </c>
      <c r="F35" s="119" t="s">
        <v>350</v>
      </c>
    </row>
    <row r="36" spans="1:6" ht="15.75">
      <c r="A36" s="168" t="s">
        <v>351</v>
      </c>
      <c r="B36" s="168"/>
      <c r="C36" s="168" t="str">
        <f>"GXDCT*"&amp;TEXT(Info!B110,Info!C110)</f>
        <v>GXDCT*0,64%</v>
      </c>
      <c r="D36" s="168"/>
      <c r="E36" s="151">
        <f>ROUND(E42*Info!B110,0)</f>
        <v>1338143</v>
      </c>
      <c r="F36" s="119" t="s">
        <v>352</v>
      </c>
    </row>
    <row r="37" spans="1:6" ht="15.75">
      <c r="A37" s="168" t="s">
        <v>353</v>
      </c>
      <c r="B37" s="168"/>
      <c r="C37" s="168" t="str">
        <f>"GXDCT*"&amp;TEXT(Info!B111,Info!C111)</f>
        <v>GXDCT*0,38%</v>
      </c>
      <c r="D37" s="168"/>
      <c r="E37" s="151">
        <f>ROUND(E42*Info!B111,0)</f>
        <v>794522</v>
      </c>
      <c r="F37" s="119" t="s">
        <v>354</v>
      </c>
    </row>
    <row r="38" spans="1:6" ht="15.75">
      <c r="A38" s="169" t="s">
        <v>355</v>
      </c>
      <c r="B38" s="169"/>
      <c r="C38" s="169" t="s">
        <v>368</v>
      </c>
      <c r="D38" s="169"/>
      <c r="E38" s="172">
        <f>ROUND(E16+E18+E30,0)</f>
        <v>24093080</v>
      </c>
      <c r="F38" s="153" t="s">
        <v>356</v>
      </c>
    </row>
    <row r="39" spans="1:6" ht="15.75">
      <c r="A39" s="169" t="s">
        <v>357</v>
      </c>
      <c r="B39" s="169"/>
      <c r="C39" s="169" t="s">
        <v>369</v>
      </c>
      <c r="D39" s="169"/>
      <c r="E39" s="172">
        <f>ROUND(E40+E41,0)</f>
        <v>19007708</v>
      </c>
      <c r="F39" s="153" t="s">
        <v>358</v>
      </c>
    </row>
    <row r="40" spans="1:6" ht="15.75">
      <c r="A40" s="168" t="s">
        <v>359</v>
      </c>
      <c r="B40" s="168"/>
      <c r="C40" s="168" t="str">
        <f>"(GXD+GTB+GKDT)*"&amp;TEXT(Info!B112,Info!C112)</f>
        <v>(GXD+GTB+GKDT)*10%</v>
      </c>
      <c r="D40" s="168"/>
      <c r="E40" s="151">
        <f>ROUND((E11+F7+E38)*Info!B112,0)</f>
        <v>19007708</v>
      </c>
      <c r="F40" s="119" t="s">
        <v>360</v>
      </c>
    </row>
    <row r="41" spans="1:6" ht="15.75">
      <c r="A41" s="168" t="s">
        <v>361</v>
      </c>
      <c r="B41" s="168"/>
      <c r="C41" s="168" t="str">
        <f>"(GXD+GTB+GKDT)*"&amp;TEXT(Info!B112,Info!C112)</f>
        <v>(GXD+GTB+GKDT)*10%</v>
      </c>
      <c r="D41" s="168"/>
      <c r="E41" s="151"/>
      <c r="F41" s="119" t="s">
        <v>362</v>
      </c>
    </row>
    <row r="42" spans="1:6" ht="15.75">
      <c r="A42" s="170" t="s">
        <v>363</v>
      </c>
      <c r="B42" s="170"/>
      <c r="C42" s="170" t="s">
        <v>370</v>
      </c>
      <c r="D42" s="170"/>
      <c r="E42" s="173">
        <f>ROUND(E11+F7+E38+E39,0)</f>
        <v>209084792</v>
      </c>
      <c r="F42" s="155" t="s">
        <v>364</v>
      </c>
    </row>
    <row r="43" spans="4:5" ht="15.75">
      <c r="D43" s="174" t="s">
        <v>371</v>
      </c>
      <c r="E43" s="164">
        <f>ROUND($E$42,-3)</f>
        <v>209085000</v>
      </c>
    </row>
    <row r="44" spans="1:6" ht="15.75">
      <c r="A44" s="52" t="str">
        <f>"Bằng chữ: "&amp;bangchu(E43,"đồng")</f>
        <v>Bằng chữ: Hai trăm lẻ chín triệu  tám mươi lăm ngàn đồng</v>
      </c>
      <c r="B44" s="52"/>
      <c r="C44" s="52"/>
      <c r="D44" s="52"/>
      <c r="E44" s="52"/>
      <c r="F44" s="52"/>
    </row>
  </sheetData>
  <mergeCells count="71">
    <mergeCell ref="A42:B42"/>
    <mergeCell ref="C42:D42"/>
    <mergeCell ref="A44:F44"/>
    <mergeCell ref="A40:B40"/>
    <mergeCell ref="C40:D40"/>
    <mergeCell ref="A41:B41"/>
    <mergeCell ref="C41:D41"/>
    <mergeCell ref="A38:B38"/>
    <mergeCell ref="C38:D38"/>
    <mergeCell ref="A39:B39"/>
    <mergeCell ref="C39:D39"/>
    <mergeCell ref="A36:B36"/>
    <mergeCell ref="C36:D36"/>
    <mergeCell ref="A37:B37"/>
    <mergeCell ref="C37:D37"/>
    <mergeCell ref="A34:B34"/>
    <mergeCell ref="C34:D34"/>
    <mergeCell ref="A35:B35"/>
    <mergeCell ref="C35:D35"/>
    <mergeCell ref="A32:B32"/>
    <mergeCell ref="C32:D32"/>
    <mergeCell ref="A33:B33"/>
    <mergeCell ref="C33:D33"/>
    <mergeCell ref="A30:B30"/>
    <mergeCell ref="C30:D30"/>
    <mergeCell ref="A31:B31"/>
    <mergeCell ref="C31:D31"/>
    <mergeCell ref="A28:B28"/>
    <mergeCell ref="C28:D28"/>
    <mergeCell ref="A29:B29"/>
    <mergeCell ref="C29:D29"/>
    <mergeCell ref="A26:B26"/>
    <mergeCell ref="C26:D26"/>
    <mergeCell ref="A27:B27"/>
    <mergeCell ref="C27:D27"/>
    <mergeCell ref="A24:B24"/>
    <mergeCell ref="C24:D24"/>
    <mergeCell ref="A25:B25"/>
    <mergeCell ref="C25:D25"/>
    <mergeCell ref="A22:B22"/>
    <mergeCell ref="C22:D22"/>
    <mergeCell ref="A23:B23"/>
    <mergeCell ref="C23:D23"/>
    <mergeCell ref="A20:B20"/>
    <mergeCell ref="C20:D20"/>
    <mergeCell ref="A21:B21"/>
    <mergeCell ref="C21:D21"/>
    <mergeCell ref="A18:B18"/>
    <mergeCell ref="C18:D18"/>
    <mergeCell ref="A19:B19"/>
    <mergeCell ref="C19:D19"/>
    <mergeCell ref="A16:B16"/>
    <mergeCell ref="C16:D16"/>
    <mergeCell ref="A17:B17"/>
    <mergeCell ref="C17:D17"/>
    <mergeCell ref="A14:B14"/>
    <mergeCell ref="C14:D14"/>
    <mergeCell ref="A15:B15"/>
    <mergeCell ref="C15:D15"/>
    <mergeCell ref="A12:B12"/>
    <mergeCell ref="C12:D12"/>
    <mergeCell ref="A13:B13"/>
    <mergeCell ref="C13:D13"/>
    <mergeCell ref="A10:B10"/>
    <mergeCell ref="C10:D10"/>
    <mergeCell ref="A11:B11"/>
    <mergeCell ref="C11:D11"/>
    <mergeCell ref="A1:F1"/>
    <mergeCell ref="A2:F2"/>
    <mergeCell ref="A7:B7"/>
    <mergeCell ref="A8:B8"/>
  </mergeCells>
  <printOptions horizontalCentered="1"/>
  <pageMargins left="0" right="0" top="0.4" bottom="0.5" header="0.5" footer="0.2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2"/>
  <dimension ref="B2:H17"/>
  <sheetViews>
    <sheetView view="pageBreakPreview" zoomScaleSheetLayoutView="100" zoomScalePageLayoutView="0" workbookViewId="0" topLeftCell="A1">
      <selection activeCell="A7" sqref="A7"/>
    </sheetView>
  </sheetViews>
  <sheetFormatPr defaultColWidth="9.140625" defaultRowHeight="12.75"/>
  <cols>
    <col min="1" max="1" width="9.140625" style="62" customWidth="1"/>
    <col min="2" max="2" width="5.7109375" style="62" customWidth="1"/>
    <col min="3" max="7" width="17.7109375" style="62" customWidth="1"/>
    <col min="8" max="8" width="5.7109375" style="62" customWidth="1"/>
    <col min="9" max="16384" width="9.140625" style="62" customWidth="1"/>
  </cols>
  <sheetData>
    <row r="1" ht="16.5" thickBot="1"/>
    <row r="2" spans="2:8" ht="15.75">
      <c r="B2" s="175"/>
      <c r="C2" s="176"/>
      <c r="D2" s="176"/>
      <c r="E2" s="176"/>
      <c r="F2" s="176"/>
      <c r="G2" s="176"/>
      <c r="H2" s="177"/>
    </row>
    <row r="3" spans="2:8" ht="15.75">
      <c r="B3" s="178"/>
      <c r="C3" s="39"/>
      <c r="D3" s="39"/>
      <c r="E3" s="39"/>
      <c r="F3" s="39"/>
      <c r="G3" s="39"/>
      <c r="H3" s="179"/>
    </row>
    <row r="4" spans="2:8" ht="15.75">
      <c r="B4" s="178"/>
      <c r="C4" s="47" t="str">
        <f>Info!B29</f>
        <v>UBND Thành phố Hồ Chí Minh</v>
      </c>
      <c r="D4" s="47"/>
      <c r="E4" s="47"/>
      <c r="F4" s="47"/>
      <c r="G4" s="47"/>
      <c r="H4" s="179"/>
    </row>
    <row r="5" spans="2:8" ht="15.75">
      <c r="B5" s="178"/>
      <c r="C5" s="47" t="str">
        <f>Info!B37</f>
        <v>XÍ NGHIỆP TƯ VẤN XÂY DỰNG</v>
      </c>
      <c r="D5" s="47"/>
      <c r="E5" s="47"/>
      <c r="F5" s="47"/>
      <c r="G5" s="47"/>
      <c r="H5" s="179"/>
    </row>
    <row r="6" spans="2:8" ht="15.75">
      <c r="B6" s="178"/>
      <c r="C6" s="180" t="s">
        <v>372</v>
      </c>
      <c r="D6" s="180"/>
      <c r="E6" s="180"/>
      <c r="F6" s="180"/>
      <c r="G6" s="180"/>
      <c r="H6" s="179"/>
    </row>
    <row r="7" spans="2:8" ht="15.75">
      <c r="B7" s="178"/>
      <c r="C7" s="39"/>
      <c r="D7" s="39"/>
      <c r="E7" s="39"/>
      <c r="F7" s="39"/>
      <c r="G7" s="39"/>
      <c r="H7" s="179"/>
    </row>
    <row r="8" spans="2:8" ht="25.5">
      <c r="B8" s="178"/>
      <c r="C8" s="181" t="str">
        <f>Info!B34</f>
        <v>BẢNG TỔNG HỢP DỰ TOÁN CÔNG TRÌNH</v>
      </c>
      <c r="D8" s="181"/>
      <c r="E8" s="181"/>
      <c r="F8" s="181"/>
      <c r="G8" s="181"/>
      <c r="H8" s="179"/>
    </row>
    <row r="9" spans="2:8" ht="15.75">
      <c r="B9" s="178"/>
      <c r="C9" s="39"/>
      <c r="D9" s="39"/>
      <c r="E9" s="39"/>
      <c r="F9" s="39"/>
      <c r="G9" s="39"/>
      <c r="H9" s="179"/>
    </row>
    <row r="10" spans="2:8" ht="15.75">
      <c r="B10" s="178"/>
      <c r="C10" s="39"/>
      <c r="D10" s="39"/>
      <c r="E10" s="39"/>
      <c r="F10" s="39"/>
      <c r="G10" s="39"/>
      <c r="H10" s="179"/>
    </row>
    <row r="11" spans="2:8" ht="15.75">
      <c r="B11" s="178"/>
      <c r="C11" s="39" t="s">
        <v>105</v>
      </c>
      <c r="D11" s="182" t="str">
        <f>Info!B1</f>
        <v>ĐƠN GIÁ XÂY DỰNG CÔNG TRÌNH</v>
      </c>
      <c r="E11" s="182"/>
      <c r="F11" s="182"/>
      <c r="G11" s="182"/>
      <c r="H11" s="179"/>
    </row>
    <row r="12" spans="2:8" ht="15.75">
      <c r="B12" s="178"/>
      <c r="C12" s="39" t="s">
        <v>106</v>
      </c>
      <c r="D12" s="182"/>
      <c r="E12" s="182"/>
      <c r="F12" s="182"/>
      <c r="G12" s="182"/>
      <c r="H12" s="179"/>
    </row>
    <row r="13" spans="2:8" ht="15.75">
      <c r="B13" s="178"/>
      <c r="C13" s="39" t="s">
        <v>107</v>
      </c>
      <c r="D13" s="182"/>
      <c r="E13" s="182"/>
      <c r="F13" s="182"/>
      <c r="G13" s="182"/>
      <c r="H13" s="179"/>
    </row>
    <row r="14" spans="2:8" ht="15.75">
      <c r="B14" s="178"/>
      <c r="C14" s="39" t="s">
        <v>108</v>
      </c>
      <c r="D14" s="182"/>
      <c r="E14" s="182"/>
      <c r="F14" s="182"/>
      <c r="G14" s="182"/>
      <c r="H14" s="179"/>
    </row>
    <row r="15" spans="2:8" ht="15.75">
      <c r="B15" s="178"/>
      <c r="C15" s="39" t="s">
        <v>373</v>
      </c>
      <c r="D15" s="183">
        <f>ROUND(THDT!$E$42,-3)</f>
        <v>209085000</v>
      </c>
      <c r="E15" s="102" t="s">
        <v>24</v>
      </c>
      <c r="F15" s="39"/>
      <c r="G15" s="39"/>
      <c r="H15" s="179"/>
    </row>
    <row r="16" spans="2:8" ht="15.75">
      <c r="B16" s="178"/>
      <c r="C16" s="39"/>
      <c r="D16" s="39"/>
      <c r="E16" s="39"/>
      <c r="F16" s="39"/>
      <c r="G16" s="39"/>
      <c r="H16" s="179"/>
    </row>
    <row r="17" spans="2:8" ht="16.5" thickBot="1">
      <c r="B17" s="184"/>
      <c r="C17" s="185"/>
      <c r="D17" s="185"/>
      <c r="E17" s="185"/>
      <c r="F17" s="185"/>
      <c r="G17" s="185"/>
      <c r="H17" s="186"/>
    </row>
  </sheetData>
  <sheetProtection/>
  <mergeCells count="8">
    <mergeCell ref="D11:G11"/>
    <mergeCell ref="D12:G12"/>
    <mergeCell ref="D13:G13"/>
    <mergeCell ref="D14:G14"/>
    <mergeCell ref="C4:G4"/>
    <mergeCell ref="C5:G5"/>
    <mergeCell ref="C6:G6"/>
    <mergeCell ref="C8:G8"/>
  </mergeCells>
  <printOptions horizontalCentered="1"/>
  <pageMargins left="0.5" right="0.5" top="0.4" bottom="0.5" header="0.5" footer="0.2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11"/>
  <dimension ref="B1:M30"/>
  <sheetViews>
    <sheetView tabSelected="1" view="pageBreakPreview" zoomScaleSheetLayoutView="100" zoomScalePageLayoutView="0" workbookViewId="0" topLeftCell="A1">
      <selection activeCell="E28" sqref="E28:F28"/>
    </sheetView>
  </sheetViews>
  <sheetFormatPr defaultColWidth="9.140625" defaultRowHeight="12.75"/>
  <cols>
    <col min="1" max="1" width="9.140625" style="62" customWidth="1"/>
    <col min="2" max="2" width="5.7109375" style="62" customWidth="1"/>
    <col min="3" max="3" width="9.140625" style="62" customWidth="1"/>
    <col min="4" max="4" width="20.7109375" style="62" customWidth="1"/>
    <col min="5" max="5" width="15.7109375" style="62" customWidth="1"/>
    <col min="6" max="12" width="9.140625" style="62" customWidth="1"/>
    <col min="13" max="13" width="5.7109375" style="62" customWidth="1"/>
    <col min="14" max="16384" width="9.140625" style="62" customWidth="1"/>
  </cols>
  <sheetData>
    <row r="1" spans="2:13" ht="15.75">
      <c r="B1" s="175"/>
      <c r="C1" s="176"/>
      <c r="D1" s="176"/>
      <c r="E1" s="176"/>
      <c r="F1" s="176"/>
      <c r="G1" s="187" t="s">
        <v>109</v>
      </c>
      <c r="H1" s="187"/>
      <c r="I1" s="187"/>
      <c r="J1" s="187"/>
      <c r="K1" s="187"/>
      <c r="L1" s="176"/>
      <c r="M1" s="177"/>
    </row>
    <row r="2" spans="2:13" ht="15.75">
      <c r="B2" s="188" t="str">
        <f>Info!B29</f>
        <v>UBND Thành phố Hồ Chí Minh</v>
      </c>
      <c r="C2" s="47"/>
      <c r="D2" s="47"/>
      <c r="E2" s="47"/>
      <c r="F2" s="102"/>
      <c r="G2" s="47" t="s">
        <v>6</v>
      </c>
      <c r="H2" s="47"/>
      <c r="I2" s="47"/>
      <c r="J2" s="47"/>
      <c r="K2" s="47"/>
      <c r="L2" s="39"/>
      <c r="M2" s="179"/>
    </row>
    <row r="3" spans="2:13" ht="15.75">
      <c r="B3" s="188" t="str">
        <f>Info!B37</f>
        <v>XÍ NGHIỆP TƯ VẤN XÂY DỰNG</v>
      </c>
      <c r="C3" s="47"/>
      <c r="D3" s="47"/>
      <c r="E3" s="47"/>
      <c r="F3" s="102"/>
      <c r="G3" s="48" t="s">
        <v>110</v>
      </c>
      <c r="H3" s="48"/>
      <c r="I3" s="48"/>
      <c r="J3" s="48"/>
      <c r="K3" s="48"/>
      <c r="L3" s="39"/>
      <c r="M3" s="179"/>
    </row>
    <row r="4" spans="2:13" ht="15.75">
      <c r="B4" s="189" t="s">
        <v>372</v>
      </c>
      <c r="C4" s="190"/>
      <c r="D4" s="190"/>
      <c r="E4" s="190"/>
      <c r="F4" s="102"/>
      <c r="G4" s="102"/>
      <c r="H4" s="102"/>
      <c r="I4" s="102"/>
      <c r="J4" s="102"/>
      <c r="K4" s="102"/>
      <c r="L4" s="39"/>
      <c r="M4" s="179"/>
    </row>
    <row r="5" spans="2:13" ht="15.75">
      <c r="B5" s="178"/>
      <c r="C5" s="39"/>
      <c r="D5" s="39"/>
      <c r="E5" s="39"/>
      <c r="F5" s="39"/>
      <c r="G5" s="39"/>
      <c r="H5" s="39"/>
      <c r="I5" s="39"/>
      <c r="J5" s="39"/>
      <c r="K5" s="39"/>
      <c r="L5" s="39"/>
      <c r="M5" s="179"/>
    </row>
    <row r="6" spans="2:13" ht="15.75" hidden="1">
      <c r="B6" s="178"/>
      <c r="C6" s="39"/>
      <c r="D6" s="39"/>
      <c r="E6" s="39"/>
      <c r="F6" s="39"/>
      <c r="G6" s="39"/>
      <c r="H6" s="39"/>
      <c r="I6" s="39"/>
      <c r="J6" s="39"/>
      <c r="K6" s="39"/>
      <c r="L6" s="39"/>
      <c r="M6" s="179"/>
    </row>
    <row r="7" spans="2:13" ht="31.5" customHeight="1" hidden="1">
      <c r="B7" s="178"/>
      <c r="C7" s="39"/>
      <c r="D7" s="39"/>
      <c r="E7" s="39"/>
      <c r="F7" s="39"/>
      <c r="G7" s="39"/>
      <c r="H7" s="39"/>
      <c r="I7" s="39"/>
      <c r="J7" s="39"/>
      <c r="K7" s="39"/>
      <c r="L7" s="39"/>
      <c r="M7" s="179"/>
    </row>
    <row r="8" spans="2:13" ht="25.5">
      <c r="B8" s="178"/>
      <c r="C8" s="39"/>
      <c r="D8" s="181" t="str">
        <f>Info!B34</f>
        <v>BẢNG TỔNG HỢP DỰ TOÁN CÔNG TRÌNH</v>
      </c>
      <c r="E8" s="181"/>
      <c r="F8" s="181"/>
      <c r="G8" s="181"/>
      <c r="H8" s="181"/>
      <c r="I8" s="181"/>
      <c r="J8" s="181"/>
      <c r="K8" s="181"/>
      <c r="L8" s="39"/>
      <c r="M8" s="179"/>
    </row>
    <row r="9" spans="2:13" ht="15.75">
      <c r="B9" s="178"/>
      <c r="C9" s="39"/>
      <c r="D9" s="39"/>
      <c r="E9" s="39"/>
      <c r="F9" s="39"/>
      <c r="G9" s="39"/>
      <c r="H9" s="39"/>
      <c r="I9" s="39"/>
      <c r="J9" s="39"/>
      <c r="K9" s="39"/>
      <c r="L9" s="39"/>
      <c r="M9" s="179"/>
    </row>
    <row r="10" spans="2:13" ht="15.75">
      <c r="B10" s="178"/>
      <c r="C10" s="39"/>
      <c r="D10" s="39"/>
      <c r="E10" s="39"/>
      <c r="F10" s="39"/>
      <c r="G10" s="39"/>
      <c r="H10" s="39"/>
      <c r="I10" s="39"/>
      <c r="J10" s="39"/>
      <c r="K10" s="39"/>
      <c r="L10" s="39"/>
      <c r="M10" s="179"/>
    </row>
    <row r="11" spans="2:13" ht="15.75">
      <c r="B11" s="178"/>
      <c r="C11" s="39"/>
      <c r="D11" s="39" t="s">
        <v>105</v>
      </c>
      <c r="E11" s="182" t="str">
        <f>Info!B1</f>
        <v>ĐƠN GIÁ XÂY DỰNG CÔNG TRÌNH</v>
      </c>
      <c r="F11" s="182"/>
      <c r="G11" s="182"/>
      <c r="H11" s="182"/>
      <c r="I11" s="182"/>
      <c r="J11" s="182"/>
      <c r="K11" s="182"/>
      <c r="L11" s="182"/>
      <c r="M11" s="179"/>
    </row>
    <row r="12" spans="2:13" ht="15.75">
      <c r="B12" s="178"/>
      <c r="C12" s="39"/>
      <c r="D12" s="39" t="s">
        <v>106</v>
      </c>
      <c r="E12" s="182"/>
      <c r="F12" s="182"/>
      <c r="G12" s="182"/>
      <c r="H12" s="182"/>
      <c r="I12" s="182"/>
      <c r="J12" s="182"/>
      <c r="K12" s="182"/>
      <c r="L12" s="182"/>
      <c r="M12" s="179"/>
    </row>
    <row r="13" spans="2:13" ht="15.75">
      <c r="B13" s="178"/>
      <c r="C13" s="39"/>
      <c r="D13" s="39" t="s">
        <v>107</v>
      </c>
      <c r="E13" s="182"/>
      <c r="F13" s="182"/>
      <c r="G13" s="182"/>
      <c r="H13" s="182"/>
      <c r="I13" s="182"/>
      <c r="J13" s="182"/>
      <c r="K13" s="182"/>
      <c r="L13" s="182"/>
      <c r="M13" s="179"/>
    </row>
    <row r="14" spans="2:13" ht="15.75">
      <c r="B14" s="178"/>
      <c r="C14" s="39"/>
      <c r="D14" s="39" t="s">
        <v>108</v>
      </c>
      <c r="E14" s="182"/>
      <c r="F14" s="182"/>
      <c r="G14" s="182"/>
      <c r="H14" s="182"/>
      <c r="I14" s="182"/>
      <c r="J14" s="182"/>
      <c r="K14" s="182"/>
      <c r="L14" s="182"/>
      <c r="M14" s="179"/>
    </row>
    <row r="15" spans="2:13" ht="15.75">
      <c r="B15" s="178"/>
      <c r="C15" s="39"/>
      <c r="D15" s="39" t="s">
        <v>373</v>
      </c>
      <c r="E15" s="183">
        <f>ROUND(THDT!$E$42,-3)</f>
        <v>209085000</v>
      </c>
      <c r="F15" s="102" t="s">
        <v>24</v>
      </c>
      <c r="G15" s="39"/>
      <c r="H15" s="39"/>
      <c r="I15" s="39"/>
      <c r="J15" s="39"/>
      <c r="K15" s="39"/>
      <c r="L15" s="39"/>
      <c r="M15" s="179"/>
    </row>
    <row r="16" spans="2:13" ht="15.75">
      <c r="B16" s="178"/>
      <c r="C16" s="39"/>
      <c r="D16" s="39"/>
      <c r="E16" s="102"/>
      <c r="F16" s="102"/>
      <c r="G16" s="39"/>
      <c r="H16" s="39"/>
      <c r="I16" s="39"/>
      <c r="J16" s="39"/>
      <c r="K16" s="39"/>
      <c r="L16" s="39"/>
      <c r="M16" s="179"/>
    </row>
    <row r="17" spans="2:13" ht="15.75">
      <c r="B17" s="178"/>
      <c r="C17" s="41" t="s">
        <v>111</v>
      </c>
      <c r="D17" s="39"/>
      <c r="E17" s="39"/>
      <c r="F17" s="39"/>
      <c r="G17" s="39"/>
      <c r="H17" s="39"/>
      <c r="I17" s="39"/>
      <c r="J17" s="39"/>
      <c r="K17" s="39"/>
      <c r="L17" s="39"/>
      <c r="M17" s="179"/>
    </row>
    <row r="18" spans="2:13" ht="15.75">
      <c r="B18" s="178"/>
      <c r="C18" s="191" t="s">
        <v>374</v>
      </c>
      <c r="D18" s="191"/>
      <c r="E18" s="191"/>
      <c r="F18" s="191"/>
      <c r="G18" s="191"/>
      <c r="H18" s="191"/>
      <c r="I18" s="191"/>
      <c r="J18" s="191"/>
      <c r="K18" s="191"/>
      <c r="L18" s="191"/>
      <c r="M18" s="179"/>
    </row>
    <row r="19" spans="2:13" ht="15.75">
      <c r="B19" s="178"/>
      <c r="C19" s="191" t="s">
        <v>375</v>
      </c>
      <c r="D19" s="191"/>
      <c r="E19" s="191"/>
      <c r="F19" s="191"/>
      <c r="G19" s="191"/>
      <c r="H19" s="191"/>
      <c r="I19" s="191"/>
      <c r="J19" s="191"/>
      <c r="K19" s="191"/>
      <c r="L19" s="191"/>
      <c r="M19" s="179"/>
    </row>
    <row r="20" spans="2:13" ht="15.75">
      <c r="B20" s="178"/>
      <c r="C20" s="191" t="s">
        <v>376</v>
      </c>
      <c r="D20" s="191"/>
      <c r="E20" s="191"/>
      <c r="F20" s="191"/>
      <c r="G20" s="191"/>
      <c r="H20" s="191"/>
      <c r="I20" s="191"/>
      <c r="J20" s="191"/>
      <c r="K20" s="191"/>
      <c r="L20" s="191"/>
      <c r="M20" s="179"/>
    </row>
    <row r="21" spans="2:13" ht="15.75">
      <c r="B21" s="178"/>
      <c r="C21" s="191" t="s">
        <v>377</v>
      </c>
      <c r="D21" s="191"/>
      <c r="E21" s="191"/>
      <c r="F21" s="191"/>
      <c r="G21" s="191"/>
      <c r="H21" s="191"/>
      <c r="I21" s="191"/>
      <c r="J21" s="191"/>
      <c r="K21" s="191"/>
      <c r="L21" s="191"/>
      <c r="M21" s="179"/>
    </row>
    <row r="22" spans="2:13" ht="15.75">
      <c r="B22" s="178"/>
      <c r="C22" s="191" t="s">
        <v>378</v>
      </c>
      <c r="D22" s="191"/>
      <c r="E22" s="191"/>
      <c r="F22" s="191"/>
      <c r="G22" s="191"/>
      <c r="H22" s="191"/>
      <c r="I22" s="191"/>
      <c r="J22" s="191"/>
      <c r="K22" s="191"/>
      <c r="L22" s="191"/>
      <c r="M22" s="179"/>
    </row>
    <row r="23" spans="2:13" ht="15.75">
      <c r="B23" s="178"/>
      <c r="C23" s="191" t="s">
        <v>379</v>
      </c>
      <c r="D23" s="191"/>
      <c r="E23" s="191"/>
      <c r="F23" s="191"/>
      <c r="G23" s="191"/>
      <c r="H23" s="191"/>
      <c r="I23" s="191"/>
      <c r="J23" s="191"/>
      <c r="K23" s="191"/>
      <c r="L23" s="191"/>
      <c r="M23" s="179"/>
    </row>
    <row r="24" spans="2:13" ht="15.75">
      <c r="B24" s="178"/>
      <c r="C24" s="191" t="s">
        <v>380</v>
      </c>
      <c r="D24" s="191"/>
      <c r="E24" s="191"/>
      <c r="F24" s="191"/>
      <c r="G24" s="191"/>
      <c r="H24" s="191"/>
      <c r="I24" s="191"/>
      <c r="J24" s="191"/>
      <c r="K24" s="191"/>
      <c r="L24" s="191"/>
      <c r="M24" s="179"/>
    </row>
    <row r="25" spans="2:13" ht="15.75">
      <c r="B25" s="178"/>
      <c r="C25" s="39"/>
      <c r="D25" s="39"/>
      <c r="E25" s="39"/>
      <c r="F25" s="39"/>
      <c r="G25" s="39"/>
      <c r="H25" s="39"/>
      <c r="I25" s="39"/>
      <c r="J25" s="39"/>
      <c r="K25" s="39"/>
      <c r="L25" s="39"/>
      <c r="M25" s="179"/>
    </row>
    <row r="26" spans="2:13" ht="15.75">
      <c r="B26" s="178"/>
      <c r="C26" s="39"/>
      <c r="D26" s="39"/>
      <c r="E26" s="39"/>
      <c r="F26" s="39"/>
      <c r="G26" s="39"/>
      <c r="H26" s="39"/>
      <c r="I26" s="66" t="str">
        <f>Info!B30&amp;", ngày    tháng    năm"</f>
        <v>Tp.HCM, ngày    tháng    năm</v>
      </c>
      <c r="J26" s="66"/>
      <c r="K26" s="66"/>
      <c r="L26" s="66"/>
      <c r="M26" s="179"/>
    </row>
    <row r="27" spans="2:13" ht="15.75">
      <c r="B27" s="178"/>
      <c r="C27" s="39"/>
      <c r="D27" s="39"/>
      <c r="E27" s="39"/>
      <c r="F27" s="39"/>
      <c r="G27" s="39"/>
      <c r="H27" s="39"/>
      <c r="I27" s="66" t="str">
        <f>Info!B37</f>
        <v>XÍ NGHIỆP TƯ VẤN XÂY DỰNG</v>
      </c>
      <c r="J27" s="66"/>
      <c r="K27" s="66"/>
      <c r="L27" s="66"/>
      <c r="M27" s="179"/>
    </row>
    <row r="28" spans="2:13" ht="15.75">
      <c r="B28" s="192" t="s">
        <v>381</v>
      </c>
      <c r="C28" s="66"/>
      <c r="D28" s="67" t="s">
        <v>382</v>
      </c>
      <c r="E28" s="66" t="s">
        <v>50</v>
      </c>
      <c r="F28" s="66"/>
      <c r="G28" s="39"/>
      <c r="H28" s="39"/>
      <c r="I28" s="66" t="s">
        <v>383</v>
      </c>
      <c r="J28" s="66"/>
      <c r="K28" s="66"/>
      <c r="L28" s="66"/>
      <c r="M28" s="179"/>
    </row>
    <row r="29" spans="2:13" ht="15.75">
      <c r="B29" s="178"/>
      <c r="C29" s="39"/>
      <c r="D29" s="39"/>
      <c r="E29" s="39"/>
      <c r="F29" s="39"/>
      <c r="G29" s="39"/>
      <c r="H29" s="39"/>
      <c r="I29" s="39"/>
      <c r="J29" s="39"/>
      <c r="K29" s="39"/>
      <c r="L29" s="39"/>
      <c r="M29" s="179"/>
    </row>
    <row r="30" spans="2:13" ht="16.5" thickBot="1">
      <c r="B30" s="184"/>
      <c r="C30" s="185"/>
      <c r="D30" s="185"/>
      <c r="E30" s="185"/>
      <c r="F30" s="185"/>
      <c r="G30" s="185"/>
      <c r="H30" s="185"/>
      <c r="I30" s="185"/>
      <c r="J30" s="185"/>
      <c r="K30" s="185"/>
      <c r="L30" s="185"/>
      <c r="M30" s="186"/>
    </row>
  </sheetData>
  <sheetProtection/>
  <mergeCells count="23">
    <mergeCell ref="I27:L27"/>
    <mergeCell ref="B28:C28"/>
    <mergeCell ref="E28:F28"/>
    <mergeCell ref="I28:L28"/>
    <mergeCell ref="C22:L22"/>
    <mergeCell ref="C23:L23"/>
    <mergeCell ref="C24:L24"/>
    <mergeCell ref="I26:L26"/>
    <mergeCell ref="C18:L18"/>
    <mergeCell ref="C19:L19"/>
    <mergeCell ref="C20:L20"/>
    <mergeCell ref="C21:L21"/>
    <mergeCell ref="E11:L11"/>
    <mergeCell ref="E12:L12"/>
    <mergeCell ref="E13:L13"/>
    <mergeCell ref="E14:L14"/>
    <mergeCell ref="D8:K8"/>
    <mergeCell ref="G1:K1"/>
    <mergeCell ref="B2:E2"/>
    <mergeCell ref="G2:K2"/>
    <mergeCell ref="B3:E3"/>
    <mergeCell ref="G3:K3"/>
    <mergeCell ref="B4:E4"/>
  </mergeCells>
  <printOptions horizontalCentered="1"/>
  <pageMargins left="0.5" right="0.5" top="0.2" bottom="0.2" header="0.5" footer="0.2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Sheet14"/>
  <dimension ref="A1:F37"/>
  <sheetViews>
    <sheetView view="pageBreakPreview" zoomScaleSheetLayoutView="100" zoomScalePageLayoutView="0" workbookViewId="0" topLeftCell="A19">
      <selection activeCell="B22" sqref="B22:F22"/>
    </sheetView>
  </sheetViews>
  <sheetFormatPr defaultColWidth="9.140625" defaultRowHeight="12.75"/>
  <cols>
    <col min="1" max="1" width="3.7109375" style="17" customWidth="1"/>
    <col min="2" max="2" width="21.7109375" style="17" customWidth="1"/>
    <col min="3" max="4" width="9.140625" style="17" customWidth="1"/>
    <col min="5" max="5" width="22.421875" style="17" customWidth="1"/>
    <col min="6" max="6" width="35.00390625" style="17" customWidth="1"/>
    <col min="7" max="16384" width="9.140625" style="17" customWidth="1"/>
  </cols>
  <sheetData>
    <row r="1" spans="1:6" ht="19.5" customHeight="1">
      <c r="A1" s="55" t="str">
        <f>Info!B29</f>
        <v>UBND Thành phố Hồ Chí Minh</v>
      </c>
      <c r="B1" s="55"/>
      <c r="C1" s="55"/>
      <c r="D1" s="55" t="s">
        <v>5</v>
      </c>
      <c r="E1" s="55"/>
      <c r="F1" s="55"/>
    </row>
    <row r="2" spans="1:6" ht="15.75">
      <c r="A2" s="49" t="str">
        <f>Info!B37</f>
        <v>XÍ NGHIỆP TƯ VẤN XÂY DỰNG</v>
      </c>
      <c r="B2" s="49"/>
      <c r="C2" s="49"/>
      <c r="D2" s="55" t="s">
        <v>6</v>
      </c>
      <c r="E2" s="55"/>
      <c r="F2" s="55"/>
    </row>
    <row r="3" spans="1:6" ht="15.75">
      <c r="A3" s="57" t="s">
        <v>0</v>
      </c>
      <c r="B3" s="57"/>
      <c r="C3" s="57"/>
      <c r="D3" s="55" t="s">
        <v>1</v>
      </c>
      <c r="E3" s="55"/>
      <c r="F3" s="55"/>
    </row>
    <row r="4" spans="1:6" ht="15.75">
      <c r="A4" s="55" t="s">
        <v>2</v>
      </c>
      <c r="B4" s="55"/>
      <c r="C4" s="55"/>
      <c r="D4" s="60" t="str">
        <f>Info!B30&amp;", ngày …..... tháng …..... năm 200..... "</f>
        <v>Tp.HCM, ngày …..... tháng …..... năm 200..... </v>
      </c>
      <c r="E4" s="60"/>
      <c r="F4" s="60"/>
    </row>
    <row r="5" spans="1:6" ht="16.5">
      <c r="A5" s="16"/>
      <c r="B5" s="16"/>
      <c r="C5" s="16"/>
      <c r="D5" s="19"/>
      <c r="E5" s="20"/>
      <c r="F5" s="19"/>
    </row>
    <row r="6" spans="1:6" ht="22.5">
      <c r="A6" s="61" t="s">
        <v>7</v>
      </c>
      <c r="B6" s="61"/>
      <c r="C6" s="61"/>
      <c r="D6" s="61"/>
      <c r="E6" s="61"/>
      <c r="F6" s="61"/>
    </row>
    <row r="7" spans="1:6" ht="18.75">
      <c r="A7" s="58" t="str">
        <f>"CÔNG TRÌNH : "&amp;Info!B1</f>
        <v>CÔNG TRÌNH : ĐƠN GIÁ XÂY DỰNG CÔNG TRÌNH</v>
      </c>
      <c r="B7" s="58"/>
      <c r="C7" s="58"/>
      <c r="D7" s="58"/>
      <c r="E7" s="58"/>
      <c r="F7" s="58"/>
    </row>
    <row r="8" spans="1:6" ht="18.75">
      <c r="A8" s="58" t="str">
        <f>"HẠNG MỤC :  "&amp;Info!B2</f>
        <v>HẠNG MỤC :  XÂY DỰNG MỚI</v>
      </c>
      <c r="B8" s="58"/>
      <c r="C8" s="58"/>
      <c r="D8" s="58"/>
      <c r="E8" s="58"/>
      <c r="F8" s="58"/>
    </row>
    <row r="9" spans="1:6" ht="16.5">
      <c r="A9" s="21"/>
      <c r="B9" s="21"/>
      <c r="C9" s="21"/>
      <c r="D9" s="21"/>
      <c r="E9" s="21"/>
      <c r="F9" s="21"/>
    </row>
    <row r="10" spans="1:6" ht="15.75">
      <c r="A10" s="22" t="s">
        <v>3</v>
      </c>
      <c r="B10" s="59" t="s">
        <v>8</v>
      </c>
      <c r="C10" s="59"/>
      <c r="D10" s="59"/>
      <c r="E10" s="59"/>
      <c r="F10" s="59"/>
    </row>
    <row r="11" spans="1:6" ht="15.75" customHeight="1">
      <c r="A11" s="22"/>
      <c r="B11" s="56" t="s">
        <v>9</v>
      </c>
      <c r="C11" s="56"/>
      <c r="D11" s="56"/>
      <c r="E11" s="56"/>
      <c r="F11" s="56"/>
    </row>
    <row r="12" spans="1:6" ht="15.75" customHeight="1">
      <c r="A12" s="22"/>
      <c r="B12" s="56" t="s">
        <v>10</v>
      </c>
      <c r="C12" s="56"/>
      <c r="D12" s="56"/>
      <c r="E12" s="56"/>
      <c r="F12" s="56"/>
    </row>
    <row r="13" spans="1:6" ht="15.75">
      <c r="A13" s="22"/>
      <c r="B13" s="24"/>
      <c r="C13" s="25"/>
      <c r="D13" s="25"/>
      <c r="E13" s="25"/>
      <c r="F13" s="25"/>
    </row>
    <row r="14" spans="1:6" ht="15.75">
      <c r="A14" s="22" t="s">
        <v>64</v>
      </c>
      <c r="B14" s="50" t="s">
        <v>11</v>
      </c>
      <c r="C14" s="50"/>
      <c r="D14" s="50"/>
      <c r="E14" s="50"/>
      <c r="F14" s="50"/>
    </row>
    <row r="15" spans="1:6" ht="32.25" customHeight="1">
      <c r="A15" s="22"/>
      <c r="B15" s="51" t="s">
        <v>12</v>
      </c>
      <c r="C15" s="51"/>
      <c r="D15" s="51"/>
      <c r="E15" s="51"/>
      <c r="F15" s="51"/>
    </row>
    <row r="16" spans="1:6" ht="30.75" customHeight="1">
      <c r="A16" s="22"/>
      <c r="B16" s="51" t="s">
        <v>13</v>
      </c>
      <c r="C16" s="51"/>
      <c r="D16" s="51"/>
      <c r="E16" s="51"/>
      <c r="F16" s="51"/>
    </row>
    <row r="17" spans="1:6" ht="15.75">
      <c r="A17" s="22"/>
      <c r="B17" s="24"/>
      <c r="C17" s="25"/>
      <c r="D17" s="25"/>
      <c r="E17" s="25"/>
      <c r="F17" s="25"/>
    </row>
    <row r="18" spans="1:6" ht="15.75">
      <c r="A18" s="22" t="s">
        <v>65</v>
      </c>
      <c r="B18" s="50" t="s">
        <v>14</v>
      </c>
      <c r="C18" s="50"/>
      <c r="D18" s="50"/>
      <c r="E18" s="50"/>
      <c r="F18" s="50"/>
    </row>
    <row r="19" spans="1:6" ht="34.5" customHeight="1">
      <c r="A19" s="22"/>
      <c r="B19" s="51" t="s">
        <v>15</v>
      </c>
      <c r="C19" s="51"/>
      <c r="D19" s="51"/>
      <c r="E19" s="51"/>
      <c r="F19" s="51"/>
    </row>
    <row r="20" spans="1:6" ht="33.75" customHeight="1">
      <c r="A20" s="22"/>
      <c r="B20" s="51" t="s">
        <v>16</v>
      </c>
      <c r="C20" s="51"/>
      <c r="D20" s="51"/>
      <c r="E20" s="51"/>
      <c r="F20" s="51"/>
    </row>
    <row r="21" spans="1:6" ht="15.75">
      <c r="A21" s="22"/>
      <c r="B21" s="24"/>
      <c r="C21" s="25"/>
      <c r="D21" s="25"/>
      <c r="E21" s="25"/>
      <c r="F21" s="25"/>
    </row>
    <row r="22" spans="1:6" ht="15.75">
      <c r="A22" s="22" t="s">
        <v>66</v>
      </c>
      <c r="B22" s="50" t="s">
        <v>17</v>
      </c>
      <c r="C22" s="50"/>
      <c r="D22" s="50"/>
      <c r="E22" s="50"/>
      <c r="F22" s="50"/>
    </row>
    <row r="23" spans="1:6" ht="30.75" customHeight="1">
      <c r="A23" s="22"/>
      <c r="B23" s="51" t="s">
        <v>18</v>
      </c>
      <c r="C23" s="51"/>
      <c r="D23" s="51"/>
      <c r="E23" s="51"/>
      <c r="F23" s="51"/>
    </row>
    <row r="24" spans="1:6" ht="16.5" customHeight="1">
      <c r="A24" s="22"/>
      <c r="B24" s="51" t="s">
        <v>19</v>
      </c>
      <c r="C24" s="51"/>
      <c r="D24" s="51"/>
      <c r="E24" s="51"/>
      <c r="F24" s="51"/>
    </row>
    <row r="25" spans="1:6" ht="50.25" customHeight="1">
      <c r="A25" s="22"/>
      <c r="B25" s="51" t="s">
        <v>20</v>
      </c>
      <c r="C25" s="51"/>
      <c r="D25" s="51"/>
      <c r="E25" s="51"/>
      <c r="F25" s="51"/>
    </row>
    <row r="26" spans="1:6" ht="15.75">
      <c r="A26" s="22"/>
      <c r="B26" s="51" t="s">
        <v>67</v>
      </c>
      <c r="C26" s="51"/>
      <c r="D26" s="51"/>
      <c r="E26" s="51"/>
      <c r="F26" s="51"/>
    </row>
    <row r="27" spans="1:6" ht="15.75">
      <c r="A27" s="22"/>
      <c r="B27" s="23"/>
      <c r="C27" s="23"/>
      <c r="D27" s="23"/>
      <c r="E27" s="23"/>
      <c r="F27" s="23"/>
    </row>
    <row r="28" spans="1:6" ht="15.75">
      <c r="A28" s="26" t="s">
        <v>4</v>
      </c>
      <c r="B28" s="27" t="s">
        <v>21</v>
      </c>
      <c r="C28" s="193">
        <f>THDT!$E$42</f>
        <v>209084792</v>
      </c>
      <c r="D28" s="53"/>
      <c r="E28" s="28" t="s">
        <v>22</v>
      </c>
      <c r="F28" s="29"/>
    </row>
    <row r="29" spans="1:6" ht="19.5" customHeight="1">
      <c r="A29" s="30"/>
      <c r="B29" s="31" t="s">
        <v>23</v>
      </c>
      <c r="C29" s="54">
        <f>ROUND(C28,-3)</f>
        <v>209085000</v>
      </c>
      <c r="D29" s="54"/>
      <c r="E29" s="31" t="s">
        <v>24</v>
      </c>
      <c r="F29" s="31"/>
    </row>
    <row r="30" spans="1:6" ht="18" customHeight="1">
      <c r="A30" s="34"/>
      <c r="B30" s="52" t="str">
        <f>"Bằng chữ:  "&amp;bangchu(C29,"đồng")</f>
        <v>Bằng chữ:  Hai trăm lẻ chín triệu  tám mươi lăm ngàn đồng</v>
      </c>
      <c r="C30" s="52"/>
      <c r="D30" s="52"/>
      <c r="E30" s="52"/>
      <c r="F30" s="52"/>
    </row>
    <row r="31" spans="1:6" ht="15.75">
      <c r="A31" s="2"/>
      <c r="B31" s="2"/>
      <c r="C31" s="2"/>
      <c r="D31" s="2"/>
      <c r="E31" s="2"/>
      <c r="F31" s="2"/>
    </row>
    <row r="32" spans="1:6" ht="15.75">
      <c r="A32" s="22"/>
      <c r="B32" s="32" t="s">
        <v>25</v>
      </c>
      <c r="C32" s="32"/>
      <c r="D32" s="30"/>
      <c r="F32" s="18" t="s">
        <v>26</v>
      </c>
    </row>
    <row r="33" spans="1:6" ht="15.75">
      <c r="A33" s="22"/>
      <c r="B33" s="18"/>
      <c r="C33" s="18"/>
      <c r="D33" s="30"/>
      <c r="F33" s="18" t="s">
        <v>27</v>
      </c>
    </row>
    <row r="34" spans="1:6" ht="15.75">
      <c r="A34" s="22"/>
      <c r="B34" s="32"/>
      <c r="C34" s="32"/>
      <c r="D34" s="30"/>
      <c r="E34" s="32"/>
      <c r="F34" s="32"/>
    </row>
    <row r="35" spans="1:6" ht="15.75">
      <c r="A35" s="22"/>
      <c r="B35" s="32"/>
      <c r="C35" s="32"/>
      <c r="D35" s="30"/>
      <c r="E35" s="32"/>
      <c r="F35" s="32"/>
    </row>
    <row r="36" spans="1:6" ht="15.75">
      <c r="A36" s="22"/>
      <c r="B36" s="32"/>
      <c r="C36" s="32"/>
      <c r="D36" s="30"/>
      <c r="E36" s="32"/>
      <c r="F36" s="32"/>
    </row>
    <row r="37" spans="1:6" ht="15.75">
      <c r="A37" s="22"/>
      <c r="B37" s="49"/>
      <c r="C37" s="49"/>
      <c r="D37" s="30"/>
      <c r="E37" s="49"/>
      <c r="F37" s="49"/>
    </row>
  </sheetData>
  <sheetProtection/>
  <mergeCells count="30">
    <mergeCell ref="A8:F8"/>
    <mergeCell ref="B10:F10"/>
    <mergeCell ref="A4:C4"/>
    <mergeCell ref="D4:F4"/>
    <mergeCell ref="A6:F6"/>
    <mergeCell ref="A7:F7"/>
    <mergeCell ref="B19:F19"/>
    <mergeCell ref="B20:F20"/>
    <mergeCell ref="A1:C1"/>
    <mergeCell ref="D1:F1"/>
    <mergeCell ref="A2:C2"/>
    <mergeCell ref="D2:F2"/>
    <mergeCell ref="B11:F11"/>
    <mergeCell ref="B12:F12"/>
    <mergeCell ref="A3:C3"/>
    <mergeCell ref="D3:F3"/>
    <mergeCell ref="B14:F14"/>
    <mergeCell ref="B15:F15"/>
    <mergeCell ref="B16:F16"/>
    <mergeCell ref="B18:F18"/>
    <mergeCell ref="B37:C37"/>
    <mergeCell ref="E37:F37"/>
    <mergeCell ref="B22:F22"/>
    <mergeCell ref="B23:F23"/>
    <mergeCell ref="B24:F24"/>
    <mergeCell ref="B25:F25"/>
    <mergeCell ref="B26:F26"/>
    <mergeCell ref="B30:F30"/>
    <mergeCell ref="C28:D28"/>
    <mergeCell ref="C29:D29"/>
  </mergeCells>
  <printOptions/>
  <pageMargins left="0.75" right="0.75" top="1" bottom="1" header="0.5" footer="0.5"/>
  <pageSetup horizontalDpi="360" verticalDpi="360" orientation="portrait" paperSize="9" scale="85" r:id="rId3"/>
  <legacyDrawing r:id="rId2"/>
</worksheet>
</file>

<file path=xl/worksheets/sheet19.xml><?xml version="1.0" encoding="utf-8"?>
<worksheet xmlns="http://schemas.openxmlformats.org/spreadsheetml/2006/main" xmlns:r="http://schemas.openxmlformats.org/officeDocument/2006/relationships">
  <sheetPr codeName="Sheet8"/>
  <dimension ref="A1:IV112"/>
  <sheetViews>
    <sheetView zoomScalePageLayoutView="0" workbookViewId="0" topLeftCell="A22">
      <selection activeCell="B37" sqref="B37"/>
    </sheetView>
  </sheetViews>
  <sheetFormatPr defaultColWidth="9.140625" defaultRowHeight="15.75" customHeight="1"/>
  <cols>
    <col min="1" max="1" width="40.57421875" style="0" bestFit="1" customWidth="1"/>
    <col min="2" max="2" width="44.8515625" style="13" customWidth="1"/>
    <col min="3" max="3" width="0" style="0" hidden="1" customWidth="1"/>
    <col min="5" max="5" width="0" style="0" hidden="1" customWidth="1"/>
    <col min="7" max="7" width="0" style="0" hidden="1" customWidth="1"/>
  </cols>
  <sheetData>
    <row r="1" spans="1:2" ht="15.75" customHeight="1">
      <c r="A1" s="3" t="s">
        <v>28</v>
      </c>
      <c r="B1" s="4" t="s">
        <v>124</v>
      </c>
    </row>
    <row r="2" spans="1:3" ht="15.75" customHeight="1">
      <c r="A2" s="3" t="s">
        <v>29</v>
      </c>
      <c r="B2" s="4" t="s">
        <v>146</v>
      </c>
      <c r="C2" t="b">
        <v>0</v>
      </c>
    </row>
    <row r="3" spans="1:2" s="7" customFormat="1" ht="15.75" customHeight="1">
      <c r="A3" s="5"/>
      <c r="B3" s="6"/>
    </row>
    <row r="4" spans="1:256" ht="15.75" customHeight="1">
      <c r="A4" s="8" t="s">
        <v>30</v>
      </c>
      <c r="B4" s="9" t="s">
        <v>125</v>
      </c>
      <c r="C4" s="8" t="s">
        <v>126</v>
      </c>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5.75" customHeight="1">
      <c r="A5" s="8" t="s">
        <v>58</v>
      </c>
      <c r="B5" s="9" t="s">
        <v>127</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15.75" customHeight="1">
      <c r="A6" s="8" t="s">
        <v>59</v>
      </c>
      <c r="B6" s="9" t="s">
        <v>128</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ht="15.75" customHeight="1">
      <c r="A7" s="8" t="s">
        <v>60</v>
      </c>
      <c r="B7" s="9" t="s">
        <v>129</v>
      </c>
      <c r="C7" s="8" t="s">
        <v>130</v>
      </c>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row>
    <row r="8" spans="1:256" ht="15.75" customHeight="1">
      <c r="A8" t="s">
        <v>31</v>
      </c>
      <c r="B8" s="9" t="s">
        <v>131</v>
      </c>
      <c r="C8" s="8" t="s">
        <v>132</v>
      </c>
      <c r="D8" s="8" t="s">
        <v>133</v>
      </c>
      <c r="E8" s="8" t="s">
        <v>134</v>
      </c>
      <c r="F8" s="8" t="s">
        <v>135</v>
      </c>
      <c r="G8" s="8" t="s">
        <v>136</v>
      </c>
      <c r="H8" s="8" t="s">
        <v>137</v>
      </c>
      <c r="I8" s="8" t="s">
        <v>138</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ht="15.75" customHeight="1">
      <c r="A9" t="s">
        <v>61</v>
      </c>
      <c r="B9" s="9" t="s">
        <v>139</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ht="15.75" customHeight="1">
      <c r="A10" s="8" t="s">
        <v>62</v>
      </c>
      <c r="B10" s="9" t="s">
        <v>140</v>
      </c>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ht="15.75" customHeight="1">
      <c r="A11" s="8" t="s">
        <v>63</v>
      </c>
      <c r="B11" s="9" t="s">
        <v>141</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s="7" customFormat="1" ht="15.75" customHeight="1">
      <c r="A12" s="15" t="s">
        <v>32</v>
      </c>
      <c r="B12" s="11" t="s">
        <v>142</v>
      </c>
      <c r="C12" s="10" t="s">
        <v>143</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row>
    <row r="13" spans="1:2" ht="15.75" customHeight="1">
      <c r="A13" s="12" t="s">
        <v>33</v>
      </c>
      <c r="B13" s="13" t="b">
        <v>1</v>
      </c>
    </row>
    <row r="14" spans="1:2" ht="15.75" customHeight="1">
      <c r="A14" s="12" t="s">
        <v>34</v>
      </c>
      <c r="B14" s="13">
        <v>3</v>
      </c>
    </row>
    <row r="15" spans="1:2" ht="15.75" customHeight="1">
      <c r="A15" s="12" t="s">
        <v>35</v>
      </c>
      <c r="B15" s="13">
        <v>3</v>
      </c>
    </row>
    <row r="16" spans="1:2" ht="15.75" customHeight="1">
      <c r="A16" s="12" t="s">
        <v>36</v>
      </c>
      <c r="B16" s="13" t="b">
        <v>0</v>
      </c>
    </row>
    <row r="17" spans="1:2" ht="15.75" customHeight="1">
      <c r="A17" s="12" t="s">
        <v>37</v>
      </c>
      <c r="B17" s="13" t="b">
        <v>1</v>
      </c>
    </row>
    <row r="18" spans="1:2" ht="15.75" customHeight="1">
      <c r="A18" s="12" t="s">
        <v>38</v>
      </c>
      <c r="B18" s="13" t="b">
        <v>1</v>
      </c>
    </row>
    <row r="19" spans="1:2" ht="15.75" customHeight="1">
      <c r="A19" s="12" t="s">
        <v>39</v>
      </c>
      <c r="B19" s="13" t="b">
        <v>1</v>
      </c>
    </row>
    <row r="20" spans="1:2" ht="15.75" customHeight="1">
      <c r="A20" s="12" t="s">
        <v>40</v>
      </c>
      <c r="B20" s="13" t="b">
        <v>1</v>
      </c>
    </row>
    <row r="21" spans="1:2" ht="15.75" customHeight="1">
      <c r="A21" s="12" t="s">
        <v>41</v>
      </c>
      <c r="B21" s="13" t="b">
        <v>1</v>
      </c>
    </row>
    <row r="22" ht="15.75" customHeight="1">
      <c r="A22" s="12" t="s">
        <v>42</v>
      </c>
    </row>
    <row r="23" ht="15.75" customHeight="1">
      <c r="A23" s="12" t="s">
        <v>43</v>
      </c>
    </row>
    <row r="24" spans="1:2" ht="15.75" customHeight="1">
      <c r="A24" s="12" t="s">
        <v>44</v>
      </c>
      <c r="B24" s="13" t="b">
        <v>0</v>
      </c>
    </row>
    <row r="25" spans="1:2" ht="38.25">
      <c r="A25" s="14" t="s">
        <v>45</v>
      </c>
      <c r="B25" s="13">
        <v>2</v>
      </c>
    </row>
    <row r="26" spans="1:2" ht="15.75" customHeight="1">
      <c r="A26" s="12" t="s">
        <v>46</v>
      </c>
      <c r="B26" s="13" t="b">
        <v>0</v>
      </c>
    </row>
    <row r="27" spans="1:2" ht="15.75" customHeight="1">
      <c r="A27" s="12" t="s">
        <v>47</v>
      </c>
      <c r="B27" s="13" t="b">
        <v>0</v>
      </c>
    </row>
    <row r="28" s="7" customFormat="1" ht="15.75" customHeight="1">
      <c r="B28" s="6"/>
    </row>
    <row r="29" spans="1:2" ht="15.75" customHeight="1">
      <c r="A29" s="12" t="s">
        <v>48</v>
      </c>
      <c r="B29" s="33" t="s">
        <v>144</v>
      </c>
    </row>
    <row r="30" spans="1:2" ht="15.75" customHeight="1">
      <c r="A30" s="12" t="s">
        <v>49</v>
      </c>
      <c r="B30" s="33" t="s">
        <v>145</v>
      </c>
    </row>
    <row r="31" spans="1:2" ht="15.75" customHeight="1">
      <c r="A31" s="12" t="s">
        <v>50</v>
      </c>
      <c r="B31" s="33" t="s">
        <v>68</v>
      </c>
    </row>
    <row r="32" spans="1:2" ht="15.75" customHeight="1">
      <c r="A32" s="12" t="s">
        <v>51</v>
      </c>
      <c r="B32" s="33" t="s">
        <v>68</v>
      </c>
    </row>
    <row r="33" spans="1:2" ht="15.75" customHeight="1">
      <c r="A33" s="12" t="s">
        <v>52</v>
      </c>
      <c r="B33" s="33" t="s">
        <v>68</v>
      </c>
    </row>
    <row r="34" spans="1:2" ht="15.75" customHeight="1">
      <c r="A34" s="12" t="s">
        <v>53</v>
      </c>
      <c r="B34" s="33" t="s">
        <v>148</v>
      </c>
    </row>
    <row r="35" ht="15.75" customHeight="1" hidden="1">
      <c r="A35" s="12"/>
    </row>
    <row r="36" ht="15.75" customHeight="1" hidden="1">
      <c r="A36" s="12"/>
    </row>
    <row r="37" spans="1:2" ht="15.75" customHeight="1">
      <c r="A37" s="12" t="s">
        <v>54</v>
      </c>
      <c r="B37" s="33" t="s">
        <v>384</v>
      </c>
    </row>
    <row r="38" spans="1:2" ht="15.75" customHeight="1">
      <c r="A38" s="12" t="s">
        <v>55</v>
      </c>
      <c r="B38" s="33" t="s">
        <v>68</v>
      </c>
    </row>
    <row r="39" spans="1:2" ht="15.75" customHeight="1">
      <c r="A39" s="12" t="s">
        <v>56</v>
      </c>
      <c r="B39" s="13">
        <v>11</v>
      </c>
    </row>
    <row r="40" spans="1:2" ht="15.75" customHeight="1">
      <c r="A40" s="12" t="s">
        <v>57</v>
      </c>
      <c r="B40" s="13">
        <v>2013</v>
      </c>
    </row>
    <row r="41" spans="1:2" ht="15.75" customHeight="1">
      <c r="A41" s="38" t="s">
        <v>104</v>
      </c>
      <c r="B41" s="13" t="b">
        <v>1</v>
      </c>
    </row>
    <row r="42" spans="1:3" ht="34.5" customHeight="1">
      <c r="A42" s="42" t="s">
        <v>114</v>
      </c>
      <c r="B42" s="13" t="b">
        <v>0</v>
      </c>
      <c r="C42" t="b">
        <v>0</v>
      </c>
    </row>
    <row r="43" spans="1:2" ht="15.75" customHeight="1">
      <c r="A43" t="s">
        <v>112</v>
      </c>
      <c r="B43" s="13" t="b">
        <v>0</v>
      </c>
    </row>
    <row r="44" spans="1:2" ht="15.75" customHeight="1">
      <c r="A44" s="2" t="s">
        <v>113</v>
      </c>
      <c r="B44" s="13" t="s">
        <v>147</v>
      </c>
    </row>
    <row r="45" spans="1:3" ht="15.75" customHeight="1">
      <c r="A45" s="2" t="s">
        <v>115</v>
      </c>
      <c r="C45" t="b">
        <v>0</v>
      </c>
    </row>
    <row r="46" ht="15.75" customHeight="1">
      <c r="C46">
        <v>2350000</v>
      </c>
    </row>
    <row r="47" ht="15.75" customHeight="1">
      <c r="A47" s="2" t="s">
        <v>116</v>
      </c>
    </row>
    <row r="48" ht="15.75" customHeight="1">
      <c r="A48" s="2" t="s">
        <v>117</v>
      </c>
    </row>
    <row r="51" spans="1:2" ht="15.75" customHeight="1">
      <c r="A51" s="38" t="s">
        <v>123</v>
      </c>
      <c r="B51" s="13" t="b">
        <v>0</v>
      </c>
    </row>
    <row r="52" spans="1:2" ht="15.75" customHeight="1">
      <c r="A52" t="s">
        <v>122</v>
      </c>
      <c r="B52" s="13">
        <v>0</v>
      </c>
    </row>
    <row r="60" spans="1:4" ht="15.75" customHeight="1">
      <c r="A60" s="43" t="s">
        <v>121</v>
      </c>
      <c r="B60" s="44" t="s">
        <v>119</v>
      </c>
      <c r="C60" s="44" t="s">
        <v>120</v>
      </c>
      <c r="D60" s="145"/>
    </row>
    <row r="61" spans="1:4" ht="15.75" customHeight="1">
      <c r="A61" s="145" t="s">
        <v>261</v>
      </c>
      <c r="B61" s="146">
        <v>5.714</v>
      </c>
      <c r="C61" s="145" t="str">
        <f>IF(MOD(B61,1)=0,"0",REPLACE(MOD(B61,1),3,LEN(MOD(B61,1))-2,REPT("0",LEN(B61)-LEN(INT(B61))-1)))</f>
        <v>0,000</v>
      </c>
      <c r="D61" s="145"/>
    </row>
    <row r="62" spans="1:4" ht="15.75" customHeight="1">
      <c r="A62" s="145" t="s">
        <v>263</v>
      </c>
      <c r="B62" s="146">
        <v>1.82</v>
      </c>
      <c r="C62" s="145" t="str">
        <f>IF(MOD(B62,1)=0,"0",REPLACE(MOD(B62,1),3,LEN(MOD(B62,1))-2,REPT("0",LEN(B62)-LEN(INT(B62))-1)))</f>
        <v>0,00</v>
      </c>
      <c r="D62" s="145"/>
    </row>
    <row r="63" spans="1:4" ht="15.75" customHeight="1">
      <c r="A63" s="145" t="s">
        <v>265</v>
      </c>
      <c r="B63" s="147">
        <v>0.02</v>
      </c>
      <c r="C63" s="145" t="str">
        <f>IF(MOD(B63*100,1)=0,"0",REPLACE(MOD(B63*100,1),3,LEN(MOD(B63*100,1))-2,REPT("0",LEN(B63*100)-LEN(INT(B63*100))-1)))&amp;"%"</f>
        <v>0%</v>
      </c>
      <c r="D63" s="145"/>
    </row>
    <row r="64" spans="1:4" ht="15.75" customHeight="1">
      <c r="A64" s="145" t="s">
        <v>268</v>
      </c>
      <c r="B64" s="147">
        <v>0.065</v>
      </c>
      <c r="C64" s="145" t="str">
        <f>IF(MOD(B64*100,1)=0,"0",REPLACE(MOD(B64*100,1),3,LEN(MOD(B64*100,1))-2,REPT("0",LEN(B64*100)-LEN(INT(B64*100))-1)))&amp;"%"</f>
        <v>0,0%</v>
      </c>
      <c r="D64" s="145"/>
    </row>
    <row r="65" spans="1:4" ht="15.75" customHeight="1">
      <c r="A65" s="145" t="s">
        <v>270</v>
      </c>
      <c r="B65" s="147">
        <v>0.055</v>
      </c>
      <c r="C65" s="145" t="str">
        <f>IF(MOD(B65*100,1)=0,"0",REPLACE(MOD(B65*100,1),3,LEN(MOD(B65*100,1))-2,REPT("0",LEN(B65*100)-LEN(INT(B65*100))-1)))&amp;"%"</f>
        <v>0,0%</v>
      </c>
      <c r="D65" s="145"/>
    </row>
    <row r="66" spans="1:4" ht="15.75" customHeight="1">
      <c r="A66" s="145" t="s">
        <v>274</v>
      </c>
      <c r="B66" s="148">
        <v>0.1</v>
      </c>
      <c r="C66" s="145" t="str">
        <f>IF(MOD(B66*100,1)=0,"0",REPLACE(MOD(B66*100,1),3,LEN(MOD(B66*100,1))-2,REPT("0",LEN(B66*100)-LEN(INT(B66*100))-1)))&amp;"%"</f>
        <v>0%</v>
      </c>
      <c r="D66" s="145"/>
    </row>
    <row r="67" spans="1:5" ht="15.75" customHeight="1">
      <c r="A67" s="145" t="s">
        <v>278</v>
      </c>
      <c r="B67" s="147">
        <v>0.01</v>
      </c>
      <c r="C67" s="145" t="str">
        <f>IF(MOD(B67*100,1)=0,"0",REPLACE(MOD(B67*100,1),3,LEN(MOD(B67*100,1))-2,REPT("0",LEN(B67*100)-LEN(INT(B67*100))-1)))&amp;"%"</f>
        <v>0%</v>
      </c>
      <c r="D67" s="145">
        <v>1.1</v>
      </c>
      <c r="E67" t="str">
        <f>IF(MOD(D67,1)=0,"0",REPLACE(MOD(D67,1),3,LEN(MOD(D67,1))-2,REPT("0",LEN(D67)-LEN(INT(D67))-1)))</f>
        <v>0,0</v>
      </c>
    </row>
    <row r="90" spans="1:6" ht="15.75" customHeight="1">
      <c r="A90" s="43" t="s">
        <v>118</v>
      </c>
      <c r="B90" s="44" t="s">
        <v>119</v>
      </c>
      <c r="C90" s="44" t="s">
        <v>120</v>
      </c>
      <c r="D90" s="145"/>
      <c r="E90" s="145"/>
      <c r="F90" s="145"/>
    </row>
    <row r="91" spans="1:6" ht="15.75" customHeight="1">
      <c r="A91" s="145" t="s">
        <v>303</v>
      </c>
      <c r="B91" s="146">
        <v>1.1</v>
      </c>
      <c r="C91" s="145" t="str">
        <f>IF(MOD(B91,1)=0,"0",REPLACE(MOD(B91,1),3,LEN(MOD(B91,1))-2,REPT("0",LEN(B91)-LEN(INT(B91))-1)))</f>
        <v>0,0</v>
      </c>
      <c r="D91" s="145"/>
      <c r="E91" s="145"/>
      <c r="F91" s="145"/>
    </row>
    <row r="92" spans="1:6" ht="15.75" customHeight="1">
      <c r="A92" s="145" t="s">
        <v>305</v>
      </c>
      <c r="B92" s="146">
        <v>1.1</v>
      </c>
      <c r="C92" s="145" t="str">
        <f>IF(MOD(B92,1)=0,"0",REPLACE(MOD(B92,1),3,LEN(MOD(B92,1))-2,REPT("0",LEN(B92)-LEN(INT(B92))-1)))</f>
        <v>0,0</v>
      </c>
      <c r="D92" s="145">
        <v>0.1</v>
      </c>
      <c r="E92" s="145" t="str">
        <f>IF(MOD(D92,1)=0,"0",REPLACE(MOD(D92,1),3,LEN(MOD(D92,1))-2,REPT("0",LEN(D92)-LEN(INT(D92))-1)))</f>
        <v>0,0</v>
      </c>
      <c r="F92" s="145"/>
    </row>
    <row r="93" spans="1:7" ht="15.75" customHeight="1">
      <c r="A93" s="145" t="s">
        <v>313</v>
      </c>
      <c r="B93" s="146">
        <v>1.1</v>
      </c>
      <c r="C93" s="145" t="str">
        <f>IF(MOD(B93,1)=0,"0",REPLACE(MOD(B93,1),3,LEN(MOD(B93,1))-2,REPT("0",LEN(B93)-LEN(INT(B93))-1)))</f>
        <v>0,0</v>
      </c>
      <c r="D93" s="145">
        <v>0.02524</v>
      </c>
      <c r="E93" s="145" t="str">
        <f>IF(MOD(D93,1)=0,"0",REPLACE(MOD(D93,1),3,LEN(MOD(D93,1))-2,REPT("0",LEN(D93)-LEN(INT(D93))-1)))</f>
        <v>0,00000</v>
      </c>
      <c r="F93" s="145">
        <v>1.1</v>
      </c>
      <c r="G93" t="str">
        <f>IF(MOD(F93,1)=0,"0",REPLACE(MOD(F93,1),3,LEN(MOD(F93,1))-2,REPT("0",LEN(F93)-LEN(INT(F93))-1)))</f>
        <v>0,0</v>
      </c>
    </row>
    <row r="94" spans="1:6" ht="15.75" customHeight="1">
      <c r="A94" s="145" t="s">
        <v>317</v>
      </c>
      <c r="B94" s="146">
        <v>0</v>
      </c>
      <c r="C94" s="145" t="str">
        <f>IF(MOD(B94,1)=0,"0",REPLACE(MOD(B94,1),3,LEN(MOD(B94,1))-2,REPT("0",LEN(B94)-LEN(INT(B94))-1)))</f>
        <v>0</v>
      </c>
      <c r="D94" s="145">
        <v>1.1</v>
      </c>
      <c r="E94" s="145" t="str">
        <f>IF(MOD(D94,1)=0,"0",REPLACE(MOD(D94,1),3,LEN(MOD(D94,1))-2,REPT("0",LEN(D94)-LEN(INT(D94))-1)))</f>
        <v>0,0</v>
      </c>
      <c r="F94" s="145"/>
    </row>
    <row r="95" spans="1:6" ht="15.75" customHeight="1">
      <c r="A95" s="145" t="s">
        <v>319</v>
      </c>
      <c r="B95" s="146">
        <v>0</v>
      </c>
      <c r="C95" s="145" t="str">
        <f>IF(MOD(B95,1)=0,"0",REPLACE(MOD(B95,1),3,LEN(MOD(B95,1))-2,REPT("0",LEN(B95)-LEN(INT(B95))-1)))</f>
        <v>0</v>
      </c>
      <c r="D95" s="145">
        <v>1.1</v>
      </c>
      <c r="E95" s="145" t="str">
        <f>IF(MOD(D95,1)=0,"0",REPLACE(MOD(D95,1),3,LEN(MOD(D95,1))-2,REPT("0",LEN(D95)-LEN(INT(D95))-1)))</f>
        <v>0,0</v>
      </c>
      <c r="F95" s="145"/>
    </row>
    <row r="96" spans="1:6" ht="15.75" customHeight="1">
      <c r="A96" s="145" t="s">
        <v>321</v>
      </c>
      <c r="B96" s="146">
        <v>0.036</v>
      </c>
      <c r="C96" s="145" t="str">
        <f>IF(MOD(B96,1)=0,"0",REPLACE(MOD(B96,1),3,LEN(MOD(B96,1))-2,REPT("0",LEN(B96)-LEN(INT(B96))-1)))</f>
        <v>0,000</v>
      </c>
      <c r="D96" s="145">
        <v>1.1</v>
      </c>
      <c r="E96" s="145" t="str">
        <f>IF(MOD(D96,1)=0,"0",REPLACE(MOD(D96,1),3,LEN(MOD(D96,1))-2,REPT("0",LEN(D96)-LEN(INT(D96))-1)))</f>
        <v>0,0</v>
      </c>
      <c r="F96" s="145"/>
    </row>
    <row r="97" spans="1:6" ht="15.75" customHeight="1">
      <c r="A97" s="145" t="s">
        <v>323</v>
      </c>
      <c r="B97" s="146">
        <v>0.0274</v>
      </c>
      <c r="C97" s="145" t="str">
        <f>IF(MOD(B97,1)=0,"0",REPLACE(MOD(B97,1),3,LEN(MOD(B97,1))-2,REPT("0",LEN(B97)-LEN(INT(B97))-1)))</f>
        <v>0,0000</v>
      </c>
      <c r="D97" s="145">
        <v>1.1</v>
      </c>
      <c r="E97" s="145" t="str">
        <f>IF(MOD(D97,1)=0,"0",REPLACE(MOD(D97,1),3,LEN(MOD(D97,1))-2,REPT("0",LEN(D97)-LEN(INT(D97))-1)))</f>
        <v>0,0</v>
      </c>
      <c r="F97" s="145"/>
    </row>
    <row r="98" spans="1:6" ht="15.75" customHeight="1">
      <c r="A98" s="145" t="s">
        <v>325</v>
      </c>
      <c r="B98" s="146">
        <v>0.00206</v>
      </c>
      <c r="C98" s="145" t="str">
        <f>IF(MOD(B98,1)=0,"0",REPLACE(MOD(B98,1),3,LEN(MOD(B98,1))-2,REPT("0",LEN(B98)-LEN(INT(B98))-1)))</f>
        <v>0,00000</v>
      </c>
      <c r="D98" s="145">
        <v>1.1</v>
      </c>
      <c r="E98" s="145" t="str">
        <f>IF(MOD(D98,1)=0,"0",REPLACE(MOD(D98,1),3,LEN(MOD(D98,1))-2,REPT("0",LEN(D98)-LEN(INT(D98))-1)))</f>
        <v>0,0</v>
      </c>
      <c r="F98" s="145"/>
    </row>
    <row r="99" spans="1:6" ht="15.75" customHeight="1">
      <c r="A99" s="145" t="s">
        <v>327</v>
      </c>
      <c r="B99" s="146">
        <v>0.002</v>
      </c>
      <c r="C99" s="145" t="str">
        <f>IF(MOD(B99,1)=0,"0",REPLACE(MOD(B99,1),3,LEN(MOD(B99,1))-2,REPT("0",LEN(B99)-LEN(INT(B99))-1)))</f>
        <v>0,000</v>
      </c>
      <c r="D99" s="145">
        <v>1.1</v>
      </c>
      <c r="E99" s="145" t="str">
        <f>IF(MOD(D99,1)=0,"0",REPLACE(MOD(D99,1),3,LEN(MOD(D99,1))-2,REPT("0",LEN(D99)-LEN(INT(D99))-1)))</f>
        <v>0,0</v>
      </c>
      <c r="F99" s="145"/>
    </row>
    <row r="100" spans="1:6" ht="15.75" customHeight="1">
      <c r="A100" s="145" t="s">
        <v>329</v>
      </c>
      <c r="B100" s="146">
        <v>0.00337</v>
      </c>
      <c r="C100" s="145" t="str">
        <f>IF(MOD(B100,1)=0,"0",REPLACE(MOD(B100,1),3,LEN(MOD(B100,1))-2,REPT("0",LEN(B100)-LEN(INT(B100))-1)))</f>
        <v>0,00000</v>
      </c>
      <c r="D100" s="145">
        <v>1.1</v>
      </c>
      <c r="E100" s="145" t="str">
        <f>IF(MOD(D100,1)=0,"0",REPLACE(MOD(D100,1),3,LEN(MOD(D100,1))-2,REPT("0",LEN(D100)-LEN(INT(D100))-1)))</f>
        <v>0,0</v>
      </c>
      <c r="F100" s="145"/>
    </row>
    <row r="101" spans="1:6" ht="15.75" customHeight="1">
      <c r="A101" s="145" t="s">
        <v>331</v>
      </c>
      <c r="B101" s="146">
        <v>0.00287</v>
      </c>
      <c r="C101" s="145" t="str">
        <f>IF(MOD(B101,1)=0,"0",REPLACE(MOD(B101,1),3,LEN(MOD(B101,1))-2,REPT("0",LEN(B101)-LEN(INT(B101))-1)))</f>
        <v>0,00000</v>
      </c>
      <c r="D101" s="145"/>
      <c r="E101" s="145"/>
      <c r="F101" s="145"/>
    </row>
    <row r="102" spans="1:6" ht="15.75" customHeight="1">
      <c r="A102" s="145" t="s">
        <v>333</v>
      </c>
      <c r="B102" s="146">
        <v>0.02628</v>
      </c>
      <c r="C102" s="145" t="str">
        <f>IF(MOD(B102,1)=0,"0",REPLACE(MOD(B102,1),3,LEN(MOD(B102,1))-2,REPT("0",LEN(B102)-LEN(INT(B102))-1)))</f>
        <v>0,00000</v>
      </c>
      <c r="D102" s="145">
        <v>1.1</v>
      </c>
      <c r="E102" s="145" t="str">
        <f>IF(MOD(D102,1)=0,"0",REPLACE(MOD(D102,1),3,LEN(MOD(D102,1))-2,REPT("0",LEN(D102)-LEN(INT(D102))-1)))</f>
        <v>0,0</v>
      </c>
      <c r="F102" s="145"/>
    </row>
    <row r="103" spans="1:6" ht="15.75" customHeight="1">
      <c r="A103" s="145" t="s">
        <v>335</v>
      </c>
      <c r="B103" s="146">
        <v>0.00675</v>
      </c>
      <c r="C103" s="145" t="str">
        <f>IF(MOD(B103,1)=0,"0",REPLACE(MOD(B103,1),3,LEN(MOD(B103,1))-2,REPT("0",LEN(B103)-LEN(INT(B103))-1)))</f>
        <v>0,00000</v>
      </c>
      <c r="D103" s="145"/>
      <c r="E103" s="145"/>
      <c r="F103" s="145"/>
    </row>
    <row r="104" spans="1:6" ht="15.75" customHeight="1">
      <c r="A104" s="145" t="s">
        <v>337</v>
      </c>
      <c r="B104" s="146">
        <v>0</v>
      </c>
      <c r="C104" s="145" t="str">
        <f>IF(MOD(B104,1)=0,"0",REPLACE(MOD(B104,1),3,LEN(MOD(B104,1))-2,REPT("0",LEN(B104)-LEN(INT(B104))-1)))</f>
        <v>0</v>
      </c>
      <c r="D104" s="145">
        <v>1.1</v>
      </c>
      <c r="E104" s="145" t="str">
        <f>IF(MOD(D104,1)=0,"0",REPLACE(MOD(D104,1),3,LEN(MOD(D104,1))-2,REPT("0",LEN(D104)-LEN(INT(D104))-1)))</f>
        <v>0,0</v>
      </c>
      <c r="F104" s="145"/>
    </row>
    <row r="105" spans="1:6" ht="15.75" customHeight="1">
      <c r="A105" s="145" t="s">
        <v>341</v>
      </c>
      <c r="B105" s="166">
        <v>0.00019</v>
      </c>
      <c r="C105" s="145" t="str">
        <f>IF(MOD(B105*100,1)=0,"0",REPLACE(MOD(B105*100,1),3,LEN(MOD(B105*100,1))-2,REPT("0",LEN(B105*100)-LEN(INT(B105*100))-1)))&amp;"%"</f>
        <v>0,000%</v>
      </c>
      <c r="D105" s="145"/>
      <c r="E105" s="145"/>
      <c r="F105" s="145"/>
    </row>
    <row r="106" spans="1:6" ht="15.75" customHeight="1">
      <c r="A106" s="145" t="s">
        <v>343</v>
      </c>
      <c r="B106" s="146">
        <v>1000000</v>
      </c>
      <c r="C106" s="145" t="str">
        <f>IF(MOD(B106,1)=0,"0",REPLACE(MOD(B106,1),3,LEN(MOD(B106,1))-2,REPT("0",LEN(B106)-LEN(INT(B106))-1)))</f>
        <v>0</v>
      </c>
      <c r="D106" s="145"/>
      <c r="E106" s="145"/>
      <c r="F106" s="145"/>
    </row>
    <row r="107" spans="1:6" ht="15.75" customHeight="1">
      <c r="A107" s="145" t="s">
        <v>345</v>
      </c>
      <c r="B107" s="146">
        <v>0</v>
      </c>
      <c r="C107" s="145" t="str">
        <f>IF(MOD(B107,1)=0,"0",REPLACE(MOD(B107,1),3,LEN(MOD(B107,1))-2,REPT("0",LEN(B107)-LEN(INT(B107))-1)))</f>
        <v>0</v>
      </c>
      <c r="D107" s="145">
        <v>1.1</v>
      </c>
      <c r="E107" s="145" t="str">
        <f>IF(MOD(D107,1)=0,"0",REPLACE(MOD(D107,1),3,LEN(MOD(D107,1))-2,REPT("0",LEN(D107)-LEN(INT(D107))-1)))</f>
        <v>0,0</v>
      </c>
      <c r="F107" s="145"/>
    </row>
    <row r="108" spans="1:6" ht="15.75" customHeight="1">
      <c r="A108" s="145" t="s">
        <v>347</v>
      </c>
      <c r="B108" s="147">
        <v>0.05</v>
      </c>
      <c r="C108" s="145" t="str">
        <f>IF(MOD(B108*100,1)=0,"0",REPLACE(MOD(B108*100,1),3,LEN(MOD(B108*100,1))-2,REPT("0",LEN(B108*100)-LEN(INT(B108*100))-1)))&amp;"%"</f>
        <v>0%</v>
      </c>
      <c r="D108" s="145">
        <v>1.1</v>
      </c>
      <c r="E108" s="145" t="str">
        <f>IF(MOD(D108,1)=0,"0",REPLACE(MOD(D108,1),3,LEN(MOD(D108,1))-2,REPT("0",LEN(D108)-LEN(INT(D108))-1)))</f>
        <v>0,0</v>
      </c>
      <c r="F108" s="145"/>
    </row>
    <row r="109" spans="1:6" ht="15.75" customHeight="1">
      <c r="A109" s="145" t="s">
        <v>349</v>
      </c>
      <c r="B109" s="146">
        <v>0.00225</v>
      </c>
      <c r="C109" s="145" t="str">
        <f>IF(MOD(B109,1)=0,"0",REPLACE(MOD(B109,1),3,LEN(MOD(B109,1))-2,REPT("0",LEN(B109)-LEN(INT(B109))-1)))</f>
        <v>0,00000</v>
      </c>
      <c r="D109" s="145">
        <v>1.1</v>
      </c>
      <c r="E109" s="145" t="str">
        <f>IF(MOD(D109,1)=0,"0",REPLACE(MOD(D109,1),3,LEN(MOD(D109,1))-2,REPT("0",LEN(D109)-LEN(INT(D109))-1)))</f>
        <v>0,0</v>
      </c>
      <c r="F109" s="145"/>
    </row>
    <row r="110" spans="1:6" ht="15.75" customHeight="1">
      <c r="A110" s="145" t="s">
        <v>351</v>
      </c>
      <c r="B110" s="148">
        <v>0.0064</v>
      </c>
      <c r="C110" s="145" t="str">
        <f>IF(MOD(B110*100,1)=0,"0",REPLACE(MOD(B110*100,1),3,LEN(MOD(B110*100,1))-2,REPT("0",LEN(B110*100)-LEN(INT(B110*100))-1)))&amp;"%"</f>
        <v>0,00%</v>
      </c>
      <c r="D110" s="145"/>
      <c r="E110" s="145"/>
      <c r="F110" s="145"/>
    </row>
    <row r="111" spans="1:6" ht="15.75" customHeight="1">
      <c r="A111" s="145" t="s">
        <v>353</v>
      </c>
      <c r="B111" s="148">
        <v>0.0038</v>
      </c>
      <c r="C111" s="145" t="str">
        <f>IF(MOD(B111*100,1)=0,"0",REPLACE(MOD(B111*100,1),3,LEN(MOD(B111*100,1))-2,REPT("0",LEN(B111*100)-LEN(INT(B111*100))-1)))&amp;"%"</f>
        <v>0,00%</v>
      </c>
      <c r="D111" s="145"/>
      <c r="E111" s="145"/>
      <c r="F111" s="145"/>
    </row>
    <row r="112" spans="1:6" ht="15.75" customHeight="1">
      <c r="A112" s="145" t="s">
        <v>359</v>
      </c>
      <c r="B112" s="148">
        <v>0.1</v>
      </c>
      <c r="C112" s="145" t="str">
        <f>IF(MOD(B112*100,1)=0,"0",REPLACE(MOD(B112*100,1),3,LEN(MOD(B112*100,1))-2,REPT("0",LEN(B112*100)-LEN(INT(B112*100))-1)))&amp;"%"</f>
        <v>0%</v>
      </c>
      <c r="D112" s="145"/>
      <c r="E112" s="145"/>
      <c r="F112" s="145"/>
    </row>
  </sheetData>
  <sheetProtection/>
  <printOptions/>
  <pageMargins left="0.75" right="0.75" top="1" bottom="1" header="0.5" footer="0.5"/>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8"/>
  <sheetViews>
    <sheetView view="pageBreakPreview" zoomScaleSheetLayoutView="100" zoomScalePageLayoutView="0" workbookViewId="0" topLeftCell="A1">
      <pane ySplit="7" topLeftCell="BM8" activePane="bottomLeft" state="frozen"/>
      <selection pane="topLeft" activeCell="A1" sqref="A1"/>
      <selection pane="bottomLeft" activeCell="A11" sqref="A11"/>
    </sheetView>
  </sheetViews>
  <sheetFormatPr defaultColWidth="9.140625" defaultRowHeight="12.75"/>
  <cols>
    <col min="1" max="1" width="5.28125" style="62" customWidth="1"/>
    <col min="2" max="2" width="10.28125" style="62" bestFit="1" customWidth="1"/>
    <col min="3" max="3" width="35.7109375" style="62" customWidth="1"/>
    <col min="4" max="4" width="6.8515625" style="62" bestFit="1" customWidth="1"/>
    <col min="5" max="6" width="8.421875" style="62" bestFit="1" customWidth="1"/>
    <col min="7" max="7" width="10.7109375" style="62" customWidth="1"/>
    <col min="8" max="8" width="10.7109375" style="62" hidden="1" customWidth="1"/>
    <col min="9" max="9" width="10.7109375" style="62" customWidth="1"/>
    <col min="10" max="10" width="8.421875" style="62" customWidth="1"/>
    <col min="11" max="11" width="11.28125" style="62" bestFit="1" customWidth="1"/>
    <col min="12" max="12" width="12.7109375" style="62" hidden="1" customWidth="1"/>
    <col min="13" max="13" width="11.140625" style="62" bestFit="1" customWidth="1"/>
    <col min="14" max="14" width="10.140625" style="62" bestFit="1" customWidth="1"/>
    <col min="15" max="17" width="0" style="62" hidden="1" customWidth="1"/>
    <col min="18" max="16384" width="9.140625" style="62" customWidth="1"/>
  </cols>
  <sheetData>
    <row r="1" spans="1:14" ht="22.5">
      <c r="A1" s="63" t="str">
        <f>Info!C4</f>
        <v>BẢNG KHỐI LƯỢNG DỰ TOÁN</v>
      </c>
      <c r="B1" s="63"/>
      <c r="C1" s="63"/>
      <c r="D1" s="63"/>
      <c r="E1" s="63"/>
      <c r="F1" s="63"/>
      <c r="G1" s="63"/>
      <c r="H1" s="63"/>
      <c r="I1" s="63"/>
      <c r="J1" s="63"/>
      <c r="K1" s="63"/>
      <c r="L1" s="63"/>
      <c r="M1" s="63"/>
      <c r="N1" s="63"/>
    </row>
    <row r="2" spans="1:14" ht="18.75">
      <c r="A2" s="64" t="str">
        <f>"CÔNG TRÌNH: "&amp;Info!B1</f>
        <v>CÔNG TRÌNH: ĐƠN GIÁ XÂY DỰNG CÔNG TRÌNH</v>
      </c>
      <c r="B2" s="64"/>
      <c r="C2" s="64"/>
      <c r="D2" s="64"/>
      <c r="E2" s="64"/>
      <c r="F2" s="64"/>
      <c r="G2" s="64"/>
      <c r="H2" s="64"/>
      <c r="I2" s="64"/>
      <c r="J2" s="64"/>
      <c r="K2" s="64"/>
      <c r="L2" s="64"/>
      <c r="M2" s="64"/>
      <c r="N2" s="64"/>
    </row>
    <row r="3" spans="1:14" ht="18.75">
      <c r="A3" s="64" t="str">
        <f>"HẠNG MỤC: "&amp;Info!B2</f>
        <v>HẠNG MỤC: XÂY DỰNG MỚI</v>
      </c>
      <c r="B3" s="64"/>
      <c r="C3" s="64"/>
      <c r="D3" s="64"/>
      <c r="E3" s="64"/>
      <c r="F3" s="64"/>
      <c r="G3" s="64"/>
      <c r="H3" s="64"/>
      <c r="I3" s="64"/>
      <c r="J3" s="64"/>
      <c r="K3" s="64"/>
      <c r="L3" s="64"/>
      <c r="M3" s="64"/>
      <c r="N3" s="64"/>
    </row>
    <row r="5" spans="1:14" ht="15.75">
      <c r="A5" s="68" t="s">
        <v>149</v>
      </c>
      <c r="B5" s="68" t="s">
        <v>150</v>
      </c>
      <c r="C5" s="68" t="s">
        <v>151</v>
      </c>
      <c r="D5" s="68" t="s">
        <v>152</v>
      </c>
      <c r="E5" s="68" t="s">
        <v>153</v>
      </c>
      <c r="F5" s="68"/>
      <c r="G5" s="68" t="s">
        <v>156</v>
      </c>
      <c r="H5" s="68"/>
      <c r="I5" s="68"/>
      <c r="J5" s="68"/>
      <c r="K5" s="68" t="s">
        <v>161</v>
      </c>
      <c r="L5" s="68"/>
      <c r="M5" s="68"/>
      <c r="N5" s="68"/>
    </row>
    <row r="6" spans="1:14" ht="31.5">
      <c r="A6" s="68"/>
      <c r="B6" s="68"/>
      <c r="C6" s="68"/>
      <c r="D6" s="68"/>
      <c r="E6" s="69" t="s">
        <v>154</v>
      </c>
      <c r="F6" s="69" t="s">
        <v>155</v>
      </c>
      <c r="G6" s="69" t="s">
        <v>157</v>
      </c>
      <c r="H6" s="69" t="s">
        <v>158</v>
      </c>
      <c r="I6" s="69" t="s">
        <v>159</v>
      </c>
      <c r="J6" s="69" t="s">
        <v>160</v>
      </c>
      <c r="K6" s="69" t="s">
        <v>157</v>
      </c>
      <c r="L6" s="69" t="s">
        <v>158</v>
      </c>
      <c r="M6" s="69" t="s">
        <v>159</v>
      </c>
      <c r="N6" s="69" t="s">
        <v>160</v>
      </c>
    </row>
    <row r="7" spans="1:14" ht="15.75">
      <c r="A7" s="89" t="s">
        <v>179</v>
      </c>
      <c r="B7" s="89" t="s">
        <v>180</v>
      </c>
      <c r="C7" s="89" t="s">
        <v>181</v>
      </c>
      <c r="D7" s="89" t="s">
        <v>182</v>
      </c>
      <c r="E7" s="89" t="s">
        <v>183</v>
      </c>
      <c r="F7" s="89" t="s">
        <v>184</v>
      </c>
      <c r="G7" s="89" t="s">
        <v>185</v>
      </c>
      <c r="H7" s="89"/>
      <c r="I7" s="89" t="s">
        <v>186</v>
      </c>
      <c r="J7" s="89" t="s">
        <v>187</v>
      </c>
      <c r="K7" s="89" t="s">
        <v>188</v>
      </c>
      <c r="L7" s="89"/>
      <c r="M7" s="89" t="s">
        <v>189</v>
      </c>
      <c r="N7" s="89" t="s">
        <v>190</v>
      </c>
    </row>
    <row r="8" spans="1:14" ht="15.75">
      <c r="A8" s="70" t="s">
        <v>162</v>
      </c>
      <c r="B8" s="71"/>
      <c r="C8" s="71"/>
      <c r="D8" s="71"/>
      <c r="E8" s="71"/>
      <c r="F8" s="71"/>
      <c r="G8" s="71"/>
      <c r="H8" s="71"/>
      <c r="I8" s="71"/>
      <c r="J8" s="71"/>
      <c r="K8" s="71"/>
      <c r="L8" s="71"/>
      <c r="M8" s="71"/>
      <c r="N8" s="72"/>
    </row>
    <row r="9" spans="1:16" ht="31.5">
      <c r="A9" s="74">
        <v>1</v>
      </c>
      <c r="B9" s="75" t="s">
        <v>163</v>
      </c>
      <c r="C9" s="75" t="s">
        <v>164</v>
      </c>
      <c r="D9" s="76" t="s">
        <v>165</v>
      </c>
      <c r="E9" s="77"/>
      <c r="F9" s="78">
        <f>ROUND(SUM(E10:E10),3)</f>
        <v>50</v>
      </c>
      <c r="G9" s="79">
        <f>PTDG!H8</f>
        <v>0</v>
      </c>
      <c r="H9" s="79">
        <f>PTDG!I8</f>
        <v>0</v>
      </c>
      <c r="I9" s="79">
        <f>PTDG!J8</f>
        <v>45163</v>
      </c>
      <c r="J9" s="79">
        <f>PTDG!K8</f>
        <v>0</v>
      </c>
      <c r="K9" s="79">
        <f>ROUND(G9*F9,0)</f>
        <v>0</v>
      </c>
      <c r="L9" s="79">
        <f>ROUND(H9*F9,0)</f>
        <v>0</v>
      </c>
      <c r="M9" s="79">
        <f>ROUND(I9*F9,0)</f>
        <v>2258150</v>
      </c>
      <c r="N9" s="79">
        <f>ROUND(J9*F9,0)</f>
        <v>0</v>
      </c>
      <c r="P9" s="62">
        <v>1</v>
      </c>
    </row>
    <row r="10" spans="1:14" ht="15.75">
      <c r="A10" s="77"/>
      <c r="B10" s="77"/>
      <c r="C10" s="81" t="s">
        <v>166</v>
      </c>
      <c r="D10" s="77"/>
      <c r="E10" s="82">
        <f>ROUND(TKL(C10)/IF(Info!$B$24=TRUE,P9,1),3)</f>
        <v>50</v>
      </c>
      <c r="F10" s="77"/>
      <c r="G10" s="77"/>
      <c r="H10" s="77"/>
      <c r="I10" s="77"/>
      <c r="J10" s="77"/>
      <c r="K10" s="77"/>
      <c r="L10" s="77"/>
      <c r="M10" s="77"/>
      <c r="N10" s="77"/>
    </row>
    <row r="11" spans="1:16" ht="31.5">
      <c r="A11" s="74">
        <v>2</v>
      </c>
      <c r="B11" s="75" t="s">
        <v>167</v>
      </c>
      <c r="C11" s="75" t="s">
        <v>168</v>
      </c>
      <c r="D11" s="76" t="s">
        <v>165</v>
      </c>
      <c r="E11" s="77"/>
      <c r="F11" s="78">
        <f>ROUND(SUM(E12:E12),3)</f>
        <v>120</v>
      </c>
      <c r="G11" s="79">
        <f>PTDG!H11</f>
        <v>639982</v>
      </c>
      <c r="H11" s="79">
        <f>PTDG!I11</f>
        <v>0</v>
      </c>
      <c r="I11" s="79">
        <f>PTDG!J11</f>
        <v>51719</v>
      </c>
      <c r="J11" s="79">
        <f>PTDG!K11</f>
        <v>17260</v>
      </c>
      <c r="K11" s="79">
        <f>ROUND(G11*F11,0)</f>
        <v>76797840</v>
      </c>
      <c r="L11" s="79">
        <f>ROUND(H11*F11,0)</f>
        <v>0</v>
      </c>
      <c r="M11" s="79">
        <f>ROUND(I11*F11,0)</f>
        <v>6206280</v>
      </c>
      <c r="N11" s="79">
        <f>ROUND(J11*F11,0)</f>
        <v>2071200</v>
      </c>
      <c r="P11" s="62">
        <v>1</v>
      </c>
    </row>
    <row r="12" spans="1:14" ht="15.75">
      <c r="A12" s="77"/>
      <c r="B12" s="77"/>
      <c r="C12" s="81" t="s">
        <v>169</v>
      </c>
      <c r="D12" s="77"/>
      <c r="E12" s="82">
        <f>ROUND(TKL(C12)/IF(Info!$B$24=TRUE,P11,1),3)</f>
        <v>120</v>
      </c>
      <c r="F12" s="77"/>
      <c r="G12" s="77"/>
      <c r="H12" s="77"/>
      <c r="I12" s="77"/>
      <c r="J12" s="77"/>
      <c r="K12" s="77"/>
      <c r="L12" s="77"/>
      <c r="M12" s="77"/>
      <c r="N12" s="77"/>
    </row>
    <row r="13" spans="1:16" ht="15.75">
      <c r="A13" s="74">
        <v>3</v>
      </c>
      <c r="B13" s="75" t="s">
        <v>170</v>
      </c>
      <c r="C13" s="75" t="s">
        <v>171</v>
      </c>
      <c r="D13" s="76" t="s">
        <v>172</v>
      </c>
      <c r="E13" s="77"/>
      <c r="F13" s="78">
        <f>ROUND(SUM(E14:E14),3)</f>
        <v>5</v>
      </c>
      <c r="G13" s="79">
        <f>PTDG!H22</f>
        <v>0</v>
      </c>
      <c r="H13" s="79">
        <f>PTDG!I22</f>
        <v>0</v>
      </c>
      <c r="I13" s="79">
        <f>PTDG!J22</f>
        <v>50000</v>
      </c>
      <c r="J13" s="79">
        <f>PTDG!K22</f>
        <v>0</v>
      </c>
      <c r="K13" s="79">
        <f>ROUND(G13*F13,0)</f>
        <v>0</v>
      </c>
      <c r="L13" s="79">
        <f>ROUND(H13*F13,0)</f>
        <v>0</v>
      </c>
      <c r="M13" s="79">
        <f>ROUND(I13*F13,0)</f>
        <v>250000</v>
      </c>
      <c r="N13" s="79">
        <f>ROUND(J13*F13,0)</f>
        <v>0</v>
      </c>
      <c r="P13" s="62">
        <v>1</v>
      </c>
    </row>
    <row r="14" spans="1:14" ht="15.75">
      <c r="A14" s="77"/>
      <c r="B14" s="77"/>
      <c r="C14" s="81" t="s">
        <v>173</v>
      </c>
      <c r="D14" s="77"/>
      <c r="E14" s="82">
        <f>ROUND(TKL(C14)/IF(Info!$B$24=TRUE,P13,1),3)</f>
        <v>5</v>
      </c>
      <c r="F14" s="77"/>
      <c r="G14" s="77"/>
      <c r="H14" s="77"/>
      <c r="I14" s="77"/>
      <c r="J14" s="77"/>
      <c r="K14" s="77"/>
      <c r="L14" s="77"/>
      <c r="M14" s="77"/>
      <c r="N14" s="77"/>
    </row>
    <row r="15" spans="1:14" ht="15.75">
      <c r="A15" s="80"/>
      <c r="B15" s="71"/>
      <c r="C15" s="71"/>
      <c r="D15" s="71"/>
      <c r="E15" s="71"/>
      <c r="F15" s="71"/>
      <c r="G15" s="71"/>
      <c r="H15" s="71"/>
      <c r="I15" s="71"/>
      <c r="J15" s="83" t="str">
        <f>"CỘNG "&amp;$A$8&amp;": "</f>
        <v>CỘNG I. PHẦN MÓNG: </v>
      </c>
      <c r="K15" s="84">
        <f>SUM(K9:K14)</f>
        <v>76797840</v>
      </c>
      <c r="L15" s="84">
        <f>SUM(L9:L14)</f>
        <v>0</v>
      </c>
      <c r="M15" s="84">
        <f>SUMPRODUCT((O9:O14&lt;&gt;"DTC")*(M9:M14))</f>
        <v>8714430</v>
      </c>
      <c r="N15" s="84">
        <f>SUM(N9:N14)</f>
        <v>2071200</v>
      </c>
    </row>
    <row r="16" spans="1:14" ht="15.75">
      <c r="A16" s="80"/>
      <c r="B16" s="71"/>
      <c r="C16" s="71"/>
      <c r="D16" s="71"/>
      <c r="E16" s="71"/>
      <c r="F16" s="71"/>
      <c r="G16" s="71"/>
      <c r="H16" s="71"/>
      <c r="I16" s="71"/>
      <c r="J16" s="83" t="s">
        <v>174</v>
      </c>
      <c r="K16" s="194">
        <f>K15</f>
        <v>76797840</v>
      </c>
      <c r="L16" s="86">
        <f>L15</f>
        <v>0</v>
      </c>
      <c r="M16" s="194">
        <f>M15</f>
        <v>8714430</v>
      </c>
      <c r="N16" s="194">
        <f>N15</f>
        <v>2071200</v>
      </c>
    </row>
    <row r="17" spans="1:14" ht="15.75">
      <c r="A17" s="80"/>
      <c r="B17" s="71"/>
      <c r="C17" s="71"/>
      <c r="D17" s="71"/>
      <c r="E17" s="71"/>
      <c r="F17" s="71"/>
      <c r="G17" s="71"/>
      <c r="H17" s="71"/>
      <c r="I17" s="71"/>
      <c r="J17" s="83" t="s">
        <v>175</v>
      </c>
      <c r="K17" s="87" t="s">
        <v>176</v>
      </c>
      <c r="L17" s="87"/>
      <c r="M17" s="88" t="s">
        <v>177</v>
      </c>
      <c r="N17" s="88" t="s">
        <v>178</v>
      </c>
    </row>
    <row r="18" ht="15.75">
      <c r="M18" s="85"/>
    </row>
  </sheetData>
  <sheetProtection/>
  <mergeCells count="11">
    <mergeCell ref="K17:L17"/>
    <mergeCell ref="A1:N1"/>
    <mergeCell ref="A2:N2"/>
    <mergeCell ref="A3:N3"/>
    <mergeCell ref="A5:A6"/>
    <mergeCell ref="B5:B6"/>
    <mergeCell ref="C5:C6"/>
    <mergeCell ref="D5:D6"/>
    <mergeCell ref="E5:F5"/>
    <mergeCell ref="G5:J5"/>
    <mergeCell ref="K5:N5"/>
  </mergeCells>
  <printOptions horizontalCentered="1"/>
  <pageMargins left="0.25" right="0.25" top="0.4" bottom="0.5" header="0.5" footer="0.25"/>
  <pageSetup horizontalDpi="600" verticalDpi="600" orientation="landscape" paperSize="9" r:id="rId1"/>
  <headerFooter alignWithMargins="0">
    <oddFooter>&amp;R&amp;"Times New Roman"&amp;10 Trang &amp;P / &amp;N    *    Tên Công Trình: Đơn Giá Xây Dựng Công Trình - Hạng Mục: Xây Dựng Mới</oddFooter>
  </headerFooter>
</worksheet>
</file>

<file path=xl/worksheets/sheet3.xml><?xml version="1.0" encoding="utf-8"?>
<worksheet xmlns="http://schemas.openxmlformats.org/spreadsheetml/2006/main" xmlns:r="http://schemas.openxmlformats.org/officeDocument/2006/relationships">
  <sheetPr codeName="Sheet2"/>
  <dimension ref="A1:M24"/>
  <sheetViews>
    <sheetView view="pageBreakPreview" zoomScaleSheetLayoutView="100" zoomScalePageLayoutView="0" workbookViewId="0" topLeftCell="A1">
      <pane ySplit="6" topLeftCell="BM10" activePane="bottomLeft" state="frozen"/>
      <selection pane="topLeft" activeCell="A1" sqref="A1"/>
      <selection pane="bottomLeft" activeCell="H11" sqref="H11"/>
    </sheetView>
  </sheetViews>
  <sheetFormatPr defaultColWidth="9.140625" defaultRowHeight="12.75"/>
  <cols>
    <col min="1" max="1" width="5.7109375" style="62" customWidth="1"/>
    <col min="2" max="2" width="10.7109375" style="62" customWidth="1"/>
    <col min="3" max="3" width="35.7109375" style="62" customWidth="1"/>
    <col min="4" max="4" width="8.7109375" style="62" customWidth="1"/>
    <col min="5" max="5" width="10.7109375" style="62" customWidth="1"/>
    <col min="6" max="6" width="12.7109375" style="62" customWidth="1"/>
    <col min="7" max="8" width="13.7109375" style="62" customWidth="1"/>
    <col min="9" max="9" width="13.7109375" style="62" hidden="1" customWidth="1"/>
    <col min="10" max="11" width="13.7109375" style="62" customWidth="1"/>
    <col min="12" max="13" width="0" style="62" hidden="1" customWidth="1"/>
    <col min="14" max="16384" width="9.140625" style="62" customWidth="1"/>
  </cols>
  <sheetData>
    <row r="1" spans="1:11" ht="22.5">
      <c r="A1" s="63" t="str">
        <f>Info!B5</f>
        <v>BẢNG PHÂN TÍCH ĐƠN GIÁ XÂY DỰNG CÔNG TRÌNH</v>
      </c>
      <c r="B1" s="63"/>
      <c r="C1" s="63"/>
      <c r="D1" s="63"/>
      <c r="E1" s="63"/>
      <c r="F1" s="63"/>
      <c r="G1" s="63"/>
      <c r="H1" s="63"/>
      <c r="I1" s="63"/>
      <c r="J1" s="63"/>
      <c r="K1" s="63"/>
    </row>
    <row r="2" spans="1:11" ht="18.75">
      <c r="A2" s="64" t="str">
        <f>"CÔNG TRÌNH: "&amp;Info!B1</f>
        <v>CÔNG TRÌNH: ĐƠN GIÁ XÂY DỰNG CÔNG TRÌNH</v>
      </c>
      <c r="B2" s="64"/>
      <c r="C2" s="64"/>
      <c r="D2" s="64"/>
      <c r="E2" s="64"/>
      <c r="F2" s="64"/>
      <c r="G2" s="64"/>
      <c r="H2" s="64"/>
      <c r="I2" s="64"/>
      <c r="J2" s="64"/>
      <c r="K2" s="64"/>
    </row>
    <row r="3" spans="1:11" ht="18.75">
      <c r="A3" s="64" t="str">
        <f>"HẠNG MỤC: "&amp;Info!B2</f>
        <v>HẠNG MỤC: XÂY DỰNG MỚI</v>
      </c>
      <c r="B3" s="64"/>
      <c r="C3" s="64"/>
      <c r="D3" s="64"/>
      <c r="E3" s="64"/>
      <c r="F3" s="64"/>
      <c r="G3" s="64"/>
      <c r="H3" s="64"/>
      <c r="I3" s="64"/>
      <c r="J3" s="64"/>
      <c r="K3" s="64"/>
    </row>
    <row r="4" spans="1:11" ht="15.75">
      <c r="A4" s="91"/>
      <c r="B4" s="91"/>
      <c r="C4" s="91"/>
      <c r="D4" s="91"/>
      <c r="E4" s="91"/>
      <c r="F4" s="91"/>
      <c r="G4" s="91"/>
      <c r="H4" s="91"/>
      <c r="I4" s="91"/>
      <c r="J4" s="91"/>
      <c r="K4" s="91"/>
    </row>
    <row r="5" spans="1:11" ht="31.5">
      <c r="A5" s="69" t="s">
        <v>149</v>
      </c>
      <c r="B5" s="69" t="s">
        <v>150</v>
      </c>
      <c r="C5" s="69" t="s">
        <v>191</v>
      </c>
      <c r="D5" s="69" t="s">
        <v>152</v>
      </c>
      <c r="E5" s="69" t="s">
        <v>192</v>
      </c>
      <c r="F5" s="69" t="s">
        <v>156</v>
      </c>
      <c r="G5" s="69" t="s">
        <v>161</v>
      </c>
      <c r="H5" s="69" t="s">
        <v>157</v>
      </c>
      <c r="I5" s="69" t="s">
        <v>158</v>
      </c>
      <c r="J5" s="69" t="s">
        <v>159</v>
      </c>
      <c r="K5" s="69" t="s">
        <v>160</v>
      </c>
    </row>
    <row r="6" spans="1:11" ht="15.75">
      <c r="A6" s="113" t="s">
        <v>179</v>
      </c>
      <c r="B6" s="113" t="s">
        <v>180</v>
      </c>
      <c r="C6" s="113" t="s">
        <v>181</v>
      </c>
      <c r="D6" s="113" t="s">
        <v>182</v>
      </c>
      <c r="E6" s="113" t="s">
        <v>183</v>
      </c>
      <c r="F6" s="113" t="s">
        <v>184</v>
      </c>
      <c r="G6" s="113" t="s">
        <v>185</v>
      </c>
      <c r="H6" s="113" t="s">
        <v>186</v>
      </c>
      <c r="I6" s="113" t="s">
        <v>187</v>
      </c>
      <c r="J6" s="113" t="s">
        <v>187</v>
      </c>
      <c r="K6" s="113" t="s">
        <v>188</v>
      </c>
    </row>
    <row r="7" spans="1:11" ht="15.75">
      <c r="A7" s="70" t="s">
        <v>162</v>
      </c>
      <c r="B7" s="71"/>
      <c r="C7" s="71"/>
      <c r="D7" s="71"/>
      <c r="E7" s="71"/>
      <c r="F7" s="71"/>
      <c r="G7" s="71"/>
      <c r="H7" s="71"/>
      <c r="I7" s="71"/>
      <c r="J7" s="71"/>
      <c r="K7" s="72"/>
    </row>
    <row r="8" spans="1:12" ht="31.5">
      <c r="A8" s="74">
        <v>1</v>
      </c>
      <c r="B8" s="75" t="s">
        <v>163</v>
      </c>
      <c r="C8" s="77" t="str">
        <f>'BANG KHOI LUONG'!C9</f>
        <v>Đào móng băng rộng &lt;=3m sâu &lt;=1 m đất cấp III</v>
      </c>
      <c r="D8" s="76" t="s">
        <v>165</v>
      </c>
      <c r="E8" s="77"/>
      <c r="F8" s="94"/>
      <c r="G8" s="94"/>
      <c r="H8" s="95"/>
      <c r="I8" s="95"/>
      <c r="J8" s="95">
        <f>ROUND(SUM(G10:G10),0)</f>
        <v>45163</v>
      </c>
      <c r="K8" s="95"/>
      <c r="L8" s="93">
        <f>'BANG KHOI LUONG'!F9</f>
        <v>50</v>
      </c>
    </row>
    <row r="9" spans="1:11" ht="15.75">
      <c r="A9" s="108"/>
      <c r="B9" s="96"/>
      <c r="C9" s="97" t="s">
        <v>193</v>
      </c>
      <c r="D9" s="108"/>
      <c r="E9" s="96"/>
      <c r="F9" s="96"/>
      <c r="G9" s="96"/>
      <c r="H9" s="96"/>
      <c r="I9" s="96"/>
      <c r="J9" s="96"/>
      <c r="K9" s="96"/>
    </row>
    <row r="10" spans="1:13" ht="15.75">
      <c r="A10" s="109"/>
      <c r="B10" s="98"/>
      <c r="C10" s="111" t="s">
        <v>194</v>
      </c>
      <c r="D10" s="100" t="s">
        <v>196</v>
      </c>
      <c r="E10" s="98">
        <v>1.24</v>
      </c>
      <c r="F10" s="101">
        <f>SUMPRODUCT((NC!B7:NC!B8=$C$10)*(NC!G7:NC!G8=$M$10)*(NC!F7:NC!F8))</f>
        <v>36422</v>
      </c>
      <c r="G10" s="101">
        <f>ROUND(F10*E10,0)</f>
        <v>45163</v>
      </c>
      <c r="H10" s="98"/>
      <c r="I10" s="98"/>
      <c r="J10" s="98"/>
      <c r="K10" s="98"/>
      <c r="L10" s="62">
        <f>ROUND(E10*$L$8,4)</f>
        <v>62</v>
      </c>
      <c r="M10" s="62" t="s">
        <v>195</v>
      </c>
    </row>
    <row r="11" spans="1:12" ht="31.5">
      <c r="A11" s="74">
        <v>2</v>
      </c>
      <c r="B11" s="75" t="s">
        <v>167</v>
      </c>
      <c r="C11" s="77" t="str">
        <f>'BANG KHOI LUONG'!C11</f>
        <v>Bê tông lót móng chiều rộng &lt;=250 cm vữa Mác 100 XMPC30 đá 4x6</v>
      </c>
      <c r="D11" s="76" t="s">
        <v>165</v>
      </c>
      <c r="E11" s="77"/>
      <c r="F11" s="94"/>
      <c r="G11" s="94"/>
      <c r="H11" s="95">
        <f>ROUND(SUM(G13:G16),0)</f>
        <v>639982</v>
      </c>
      <c r="I11" s="95"/>
      <c r="J11" s="95">
        <f>ROUND(SUM(G18:G18),0)</f>
        <v>51719</v>
      </c>
      <c r="K11" s="95">
        <f>ROUND(SUM(G20:G21),0)</f>
        <v>17260</v>
      </c>
      <c r="L11" s="93">
        <f>'BANG KHOI LUONG'!F11</f>
        <v>120</v>
      </c>
    </row>
    <row r="12" spans="1:11" ht="15.75">
      <c r="A12" s="108"/>
      <c r="B12" s="96"/>
      <c r="C12" s="97" t="s">
        <v>197</v>
      </c>
      <c r="D12" s="108"/>
      <c r="E12" s="96"/>
      <c r="F12" s="96"/>
      <c r="G12" s="96"/>
      <c r="H12" s="96"/>
      <c r="I12" s="96"/>
      <c r="J12" s="96"/>
      <c r="K12" s="96"/>
    </row>
    <row r="13" spans="1:13" ht="15.75">
      <c r="A13" s="110"/>
      <c r="B13" s="103"/>
      <c r="C13" s="112" t="s">
        <v>198</v>
      </c>
      <c r="D13" s="105" t="s">
        <v>200</v>
      </c>
      <c r="E13" s="103">
        <v>200.85</v>
      </c>
      <c r="F13" s="106">
        <f>SUMPRODUCT((VL!B7:VL!B11=$C$13)*(VL!F7:VL!F11=$M$13)*(VL!E7:VL!E11))</f>
        <v>1550</v>
      </c>
      <c r="G13" s="106">
        <f>ROUND(F13*E13,0)</f>
        <v>311318</v>
      </c>
      <c r="H13" s="103"/>
      <c r="I13" s="103"/>
      <c r="J13" s="103"/>
      <c r="K13" s="103"/>
      <c r="L13" s="62">
        <f>ROUND(E13*$L$11,4)</f>
        <v>24102</v>
      </c>
      <c r="M13" s="62" t="s">
        <v>199</v>
      </c>
    </row>
    <row r="14" spans="1:13" ht="18.75">
      <c r="A14" s="110"/>
      <c r="B14" s="103"/>
      <c r="C14" s="112" t="s">
        <v>201</v>
      </c>
      <c r="D14" s="105" t="s">
        <v>203</v>
      </c>
      <c r="E14" s="103">
        <v>0.5315</v>
      </c>
      <c r="F14" s="106">
        <f>SUMPRODUCT((VL!B7:VL!B11=$C$14)*(VL!F7:VL!F11=$M$14)*(VL!E7:VL!E11))</f>
        <v>210000</v>
      </c>
      <c r="G14" s="106">
        <f>ROUND(F14*E14,0)</f>
        <v>111615</v>
      </c>
      <c r="H14" s="103"/>
      <c r="I14" s="103"/>
      <c r="J14" s="103"/>
      <c r="K14" s="103"/>
      <c r="L14" s="62">
        <f>ROUND(E14*$L$11,4)</f>
        <v>63.78</v>
      </c>
      <c r="M14" s="62" t="s">
        <v>202</v>
      </c>
    </row>
    <row r="15" spans="1:13" ht="18.75">
      <c r="A15" s="110"/>
      <c r="B15" s="103"/>
      <c r="C15" s="112" t="s">
        <v>204</v>
      </c>
      <c r="D15" s="105" t="s">
        <v>203</v>
      </c>
      <c r="E15" s="103">
        <v>0.9363</v>
      </c>
      <c r="F15" s="106">
        <f>SUMPRODUCT((VL!B7:VL!B11=$C$15)*(VL!F7:VL!F11=$M$15)*(VL!E7:VL!E11))</f>
        <v>230000</v>
      </c>
      <c r="G15" s="106">
        <f>ROUND(F15*E15,0)</f>
        <v>215349</v>
      </c>
      <c r="H15" s="103"/>
      <c r="I15" s="103"/>
      <c r="J15" s="103"/>
      <c r="K15" s="103"/>
      <c r="L15" s="62">
        <f>ROUND(E15*$L$11,4)</f>
        <v>112.356</v>
      </c>
      <c r="M15" s="62" t="s">
        <v>205</v>
      </c>
    </row>
    <row r="16" spans="1:13" ht="15.75">
      <c r="A16" s="110"/>
      <c r="B16" s="103"/>
      <c r="C16" s="112" t="s">
        <v>206</v>
      </c>
      <c r="D16" s="105" t="s">
        <v>208</v>
      </c>
      <c r="E16" s="103">
        <v>169.95</v>
      </c>
      <c r="F16" s="106">
        <f>SUMPRODUCT((VL!B7:VL!B11=$C$16)*(VL!F7:VL!F11=$M$16)*(VL!E7:VL!E11))</f>
        <v>10</v>
      </c>
      <c r="G16" s="106">
        <f>ROUND(F16*E16,0)</f>
        <v>1700</v>
      </c>
      <c r="H16" s="103"/>
      <c r="I16" s="103"/>
      <c r="J16" s="103"/>
      <c r="K16" s="103"/>
      <c r="L16" s="62">
        <f>ROUND(E16*$L$11,4)</f>
        <v>20394</v>
      </c>
      <c r="M16" s="62" t="s">
        <v>207</v>
      </c>
    </row>
    <row r="17" spans="1:11" ht="15.75">
      <c r="A17" s="110"/>
      <c r="B17" s="103"/>
      <c r="C17" s="107" t="s">
        <v>193</v>
      </c>
      <c r="D17" s="110"/>
      <c r="E17" s="103"/>
      <c r="F17" s="103"/>
      <c r="G17" s="103"/>
      <c r="H17" s="103"/>
      <c r="I17" s="103"/>
      <c r="J17" s="103"/>
      <c r="K17" s="103"/>
    </row>
    <row r="18" spans="1:13" ht="15.75">
      <c r="A18" s="110"/>
      <c r="B18" s="103"/>
      <c r="C18" s="112" t="s">
        <v>194</v>
      </c>
      <c r="D18" s="105" t="s">
        <v>196</v>
      </c>
      <c r="E18" s="103">
        <v>1.42</v>
      </c>
      <c r="F18" s="106">
        <f>SUMPRODUCT((NC!B7:NC!B8=$C$18)*(NC!G7:NC!G8=$M$18)*(NC!F7:NC!F8))</f>
        <v>36422</v>
      </c>
      <c r="G18" s="106">
        <f>ROUND(F18*E18,0)</f>
        <v>51719</v>
      </c>
      <c r="H18" s="103"/>
      <c r="I18" s="103"/>
      <c r="J18" s="103"/>
      <c r="K18" s="103"/>
      <c r="L18" s="62">
        <f>ROUND(E18*$L$11,4)</f>
        <v>170.4</v>
      </c>
      <c r="M18" s="62" t="s">
        <v>195</v>
      </c>
    </row>
    <row r="19" spans="1:11" ht="15.75">
      <c r="A19" s="110"/>
      <c r="B19" s="103"/>
      <c r="C19" s="107" t="s">
        <v>209</v>
      </c>
      <c r="D19" s="110"/>
      <c r="E19" s="103"/>
      <c r="F19" s="103"/>
      <c r="G19" s="103"/>
      <c r="H19" s="103"/>
      <c r="I19" s="103"/>
      <c r="J19" s="103"/>
      <c r="K19" s="103"/>
    </row>
    <row r="20" spans="1:13" ht="15.75">
      <c r="A20" s="110"/>
      <c r="B20" s="103"/>
      <c r="C20" s="112" t="s">
        <v>210</v>
      </c>
      <c r="D20" s="105" t="s">
        <v>212</v>
      </c>
      <c r="E20" s="103">
        <v>0.095</v>
      </c>
      <c r="F20" s="106">
        <f>SUMPRODUCT((MAY!B7:MAY!B8=$C$20)*(MAY!J7:MAY!J8=$M$20)*(MAY!I7:MAY!I8))</f>
        <v>134780</v>
      </c>
      <c r="G20" s="106">
        <f>ROUND(F20*E20,0)</f>
        <v>12804</v>
      </c>
      <c r="H20" s="103"/>
      <c r="I20" s="103"/>
      <c r="J20" s="103"/>
      <c r="K20" s="103"/>
      <c r="L20" s="62">
        <f>ROUND(E20*$L$11,4)</f>
        <v>11.4</v>
      </c>
      <c r="M20" s="62" t="s">
        <v>211</v>
      </c>
    </row>
    <row r="21" spans="1:13" ht="15.75">
      <c r="A21" s="109"/>
      <c r="B21" s="98"/>
      <c r="C21" s="111" t="s">
        <v>213</v>
      </c>
      <c r="D21" s="100" t="s">
        <v>212</v>
      </c>
      <c r="E21" s="98">
        <v>0.089</v>
      </c>
      <c r="F21" s="101">
        <f>SUMPRODUCT((MAY!B7:MAY!B8=$C$21)*(MAY!J7:MAY!J8=$M$21)*(MAY!I7:MAY!I8))</f>
        <v>50069</v>
      </c>
      <c r="G21" s="101">
        <f>ROUND(F21*E21,0)</f>
        <v>4456</v>
      </c>
      <c r="H21" s="98"/>
      <c r="I21" s="98"/>
      <c r="J21" s="98"/>
      <c r="K21" s="98"/>
      <c r="L21" s="62">
        <f>ROUND(E21*$L$11,4)</f>
        <v>10.68</v>
      </c>
      <c r="M21" s="62" t="s">
        <v>214</v>
      </c>
    </row>
    <row r="22" spans="1:12" ht="15.75">
      <c r="A22" s="74">
        <v>3</v>
      </c>
      <c r="B22" s="75" t="s">
        <v>170</v>
      </c>
      <c r="C22" s="77" t="str">
        <f>'BANG KHOI LUONG'!C13</f>
        <v>Dọn dẹp vệ sinh</v>
      </c>
      <c r="D22" s="76" t="s">
        <v>172</v>
      </c>
      <c r="E22" s="77"/>
      <c r="F22" s="94"/>
      <c r="G22" s="94"/>
      <c r="H22" s="95"/>
      <c r="I22" s="95"/>
      <c r="J22" s="95">
        <f>ROUND(SUM(G24:G24),0)</f>
        <v>50000</v>
      </c>
      <c r="K22" s="95"/>
      <c r="L22" s="93">
        <f>'BANG KHOI LUONG'!F13</f>
        <v>5</v>
      </c>
    </row>
    <row r="23" spans="1:11" ht="15.75">
      <c r="A23" s="108"/>
      <c r="B23" s="96"/>
      <c r="C23" s="97" t="s">
        <v>193</v>
      </c>
      <c r="D23" s="108"/>
      <c r="E23" s="96"/>
      <c r="F23" s="96"/>
      <c r="G23" s="96"/>
      <c r="H23" s="96"/>
      <c r="I23" s="96"/>
      <c r="J23" s="96"/>
      <c r="K23" s="96"/>
    </row>
    <row r="24" spans="1:13" ht="15.75">
      <c r="A24" s="109"/>
      <c r="B24" s="98"/>
      <c r="C24" s="111" t="s">
        <v>215</v>
      </c>
      <c r="D24" s="100" t="s">
        <v>217</v>
      </c>
      <c r="E24" s="98">
        <v>1</v>
      </c>
      <c r="F24" s="101">
        <f>SUMPRODUCT((NC!B7:NC!B8=$C$24)*(NC!G7:NC!G8=$M$24)*(NC!F7:NC!F8))</f>
        <v>50000</v>
      </c>
      <c r="G24" s="101">
        <f>ROUND(F24*E24,0)</f>
        <v>50000</v>
      </c>
      <c r="H24" s="98"/>
      <c r="I24" s="98"/>
      <c r="J24" s="98"/>
      <c r="K24" s="98"/>
      <c r="L24" s="62">
        <f>ROUND(E24*$L$22,4)</f>
        <v>5</v>
      </c>
      <c r="M24" s="62" t="s">
        <v>216</v>
      </c>
    </row>
  </sheetData>
  <sheetProtection/>
  <mergeCells count="3">
    <mergeCell ref="A1:K1"/>
    <mergeCell ref="A2:K2"/>
    <mergeCell ref="A3:K3"/>
  </mergeCells>
  <printOptions horizontalCentered="1"/>
  <pageMargins left="0" right="0" top="0.4" bottom="0.5" header="0.5" footer="0.25"/>
  <pageSetup horizontalDpi="600" verticalDpi="600" orientation="landscape" paperSize="9" r:id="rId1"/>
  <headerFooter alignWithMargins="0">
    <oddFooter>&amp;R&amp;"Times New Roman"&amp;10 Trang &amp;P / &amp;N    *    Tên Công Trình: Đơn Giá Xây Dựng Công Trình - Hạng Mục: Xây Dựng Mới</oddFooter>
  </headerFooter>
</worksheet>
</file>

<file path=xl/worksheets/sheet4.xml><?xml version="1.0" encoding="utf-8"?>
<worksheet xmlns="http://schemas.openxmlformats.org/spreadsheetml/2006/main" xmlns:r="http://schemas.openxmlformats.org/officeDocument/2006/relationships">
  <sheetPr codeName="Sheet3"/>
  <dimension ref="A1:F10"/>
  <sheetViews>
    <sheetView view="pageBreakPreview" zoomScaleSheetLayoutView="100" zoomScalePageLayoutView="0" workbookViewId="0" topLeftCell="A1">
      <pane ySplit="5" topLeftCell="BM6" activePane="bottomLeft" state="frozen"/>
      <selection pane="topLeft" activeCell="A1" sqref="A1"/>
      <selection pane="bottomLeft" activeCell="A7" sqref="A7"/>
    </sheetView>
  </sheetViews>
  <sheetFormatPr defaultColWidth="9.140625" defaultRowHeight="12.75"/>
  <cols>
    <col min="1" max="1" width="6.7109375" style="62" customWidth="1"/>
    <col min="2" max="2" width="25.7109375" style="62" customWidth="1"/>
    <col min="3" max="4" width="9.140625" style="62" customWidth="1"/>
    <col min="5" max="5" width="11.7109375" style="62" customWidth="1"/>
    <col min="6" max="6" width="0" style="62" hidden="1" customWidth="1"/>
    <col min="7" max="16384" width="9.140625" style="62" customWidth="1"/>
  </cols>
  <sheetData>
    <row r="1" spans="1:5" ht="22.5">
      <c r="A1" s="63" t="str">
        <f>Info!B6</f>
        <v>BẢNG GIÁ VẬT LIỆU ĐẾN HIỆN TRƯỜNG XÂY LẮP</v>
      </c>
      <c r="B1" s="63"/>
      <c r="C1" s="63"/>
      <c r="D1" s="63"/>
      <c r="E1" s="63"/>
    </row>
    <row r="2" spans="1:5" ht="18.75">
      <c r="A2" s="64" t="str">
        <f>"CÔNG TRÌNH: "&amp;Info!B1</f>
        <v>CÔNG TRÌNH: ĐƠN GIÁ XÂY DỰNG CÔNG TRÌNH</v>
      </c>
      <c r="B2" s="64"/>
      <c r="C2" s="64"/>
      <c r="D2" s="64"/>
      <c r="E2" s="64"/>
    </row>
    <row r="3" spans="1:5" ht="18.75">
      <c r="A3" s="64" t="str">
        <f>"HẠNG MỤC: "&amp;Info!B2</f>
        <v>HẠNG MỤC: XÂY DỰNG MỚI</v>
      </c>
      <c r="B3" s="64"/>
      <c r="C3" s="64"/>
      <c r="D3" s="64"/>
      <c r="E3" s="64"/>
    </row>
    <row r="4" spans="1:5" ht="15.75">
      <c r="A4" s="91"/>
      <c r="B4" s="91"/>
      <c r="C4" s="91"/>
      <c r="D4" s="91"/>
      <c r="E4" s="91"/>
    </row>
    <row r="5" spans="1:5" ht="31.5">
      <c r="A5" s="69" t="s">
        <v>149</v>
      </c>
      <c r="B5" s="69" t="s">
        <v>218</v>
      </c>
      <c r="C5" s="69" t="s">
        <v>152</v>
      </c>
      <c r="D5" s="69" t="s">
        <v>153</v>
      </c>
      <c r="E5" s="69" t="str">
        <f>" Giá T"&amp;Info!B39&amp;"/"&amp;Info!B40</f>
        <v> Giá T11/2013</v>
      </c>
    </row>
    <row r="6" spans="1:5" ht="15.75">
      <c r="A6" s="113" t="s">
        <v>179</v>
      </c>
      <c r="B6" s="113" t="s">
        <v>180</v>
      </c>
      <c r="C6" s="113" t="s">
        <v>181</v>
      </c>
      <c r="D6" s="113" t="s">
        <v>182</v>
      </c>
      <c r="E6" s="113" t="s">
        <v>183</v>
      </c>
    </row>
    <row r="7" spans="1:6" ht="18.75">
      <c r="A7" s="114">
        <v>1</v>
      </c>
      <c r="B7" s="115" t="s">
        <v>201</v>
      </c>
      <c r="C7" s="116" t="s">
        <v>203</v>
      </c>
      <c r="D7" s="117">
        <f>SUMPRODUCT((PTDG!C7:PTDG!C24=$B$7)*(PTDG!M7:PTDG!M24=$F$7)*(PTDG!L7:PTDG!L24))</f>
        <v>63.78</v>
      </c>
      <c r="E7" s="118">
        <f>ROUND(210000,0)</f>
        <v>210000</v>
      </c>
      <c r="F7" s="62" t="s">
        <v>202</v>
      </c>
    </row>
    <row r="8" spans="1:6" ht="18.75">
      <c r="A8" s="119">
        <v>2</v>
      </c>
      <c r="B8" s="120" t="s">
        <v>204</v>
      </c>
      <c r="C8" s="121" t="s">
        <v>203</v>
      </c>
      <c r="D8" s="104">
        <f>SUMPRODUCT((PTDG!C7:PTDG!C24=$B$8)*(PTDG!M7:PTDG!M24=$F$8)*(PTDG!L7:PTDG!L24))</f>
        <v>112.356</v>
      </c>
      <c r="E8" s="122">
        <f>ROUND(230000,0)</f>
        <v>230000</v>
      </c>
      <c r="F8" s="62" t="s">
        <v>205</v>
      </c>
    </row>
    <row r="9" spans="1:6" ht="15.75">
      <c r="A9" s="119">
        <v>3</v>
      </c>
      <c r="B9" s="120" t="s">
        <v>206</v>
      </c>
      <c r="C9" s="121" t="s">
        <v>208</v>
      </c>
      <c r="D9" s="104">
        <f>SUMPRODUCT((PTDG!C7:PTDG!C24=$B$9)*(PTDG!M7:PTDG!M24=$F$9)*(PTDG!L7:PTDG!L24))</f>
        <v>20394</v>
      </c>
      <c r="E9" s="122">
        <f>ROUND(10,0)</f>
        <v>10</v>
      </c>
      <c r="F9" s="62" t="s">
        <v>207</v>
      </c>
    </row>
    <row r="10" spans="1:6" ht="15.75">
      <c r="A10" s="123">
        <v>4</v>
      </c>
      <c r="B10" s="124" t="s">
        <v>198</v>
      </c>
      <c r="C10" s="125" t="s">
        <v>200</v>
      </c>
      <c r="D10" s="99">
        <f>SUMPRODUCT((PTDG!C7:PTDG!C24=$B$10)*(PTDG!M7:PTDG!M24=$F$10)*(PTDG!L7:PTDG!L24))</f>
        <v>24102</v>
      </c>
      <c r="E10" s="126">
        <f>ROUND(1550,0)</f>
        <v>1550</v>
      </c>
      <c r="F10" s="62" t="s">
        <v>199</v>
      </c>
    </row>
  </sheetData>
  <sheetProtection/>
  <mergeCells count="3">
    <mergeCell ref="A1:E1"/>
    <mergeCell ref="A2:E2"/>
    <mergeCell ref="A3:E3"/>
  </mergeCells>
  <printOptions horizontalCentered="1"/>
  <pageMargins left="0" right="0" top="0.4" bottom="0.5" header="0.5" footer="0.25"/>
  <pageSetup horizontalDpi="600" verticalDpi="600" orientation="landscape" paperSize="9" r:id="rId1"/>
  <headerFooter alignWithMargins="0">
    <oddFooter>&amp;R&amp;"Times New Roman"&amp;10 Trang &amp;P / &amp;N    *    Tên Công Trình: Đơn Giá Xây Dựng Công Trình - Hạng Mục: Xây Dựng Mới</oddFooter>
  </headerFooter>
</worksheet>
</file>

<file path=xl/worksheets/sheet5.xml><?xml version="1.0" encoding="utf-8"?>
<worksheet xmlns="http://schemas.openxmlformats.org/spreadsheetml/2006/main" xmlns:r="http://schemas.openxmlformats.org/officeDocument/2006/relationships">
  <sheetPr codeName="Sheet4"/>
  <dimension ref="A1:J9"/>
  <sheetViews>
    <sheetView view="pageBreakPreview" zoomScaleSheetLayoutView="100" zoomScalePageLayoutView="0" workbookViewId="0" topLeftCell="A1">
      <pane ySplit="6" topLeftCell="BM7" activePane="bottomLeft" state="frozen"/>
      <selection pane="topLeft" activeCell="A1" sqref="A1"/>
      <selection pane="bottomLeft" activeCell="A7" sqref="A7"/>
    </sheetView>
  </sheetViews>
  <sheetFormatPr defaultColWidth="9.140625" defaultRowHeight="12.75"/>
  <cols>
    <col min="1" max="1" width="5.7109375" style="62" customWidth="1"/>
    <col min="2" max="2" width="35.7109375" style="62" customWidth="1"/>
    <col min="3" max="3" width="8.7109375" style="62" customWidth="1"/>
    <col min="4" max="4" width="10.7109375" style="62" customWidth="1"/>
    <col min="5" max="6" width="13.7109375" style="62" customWidth="1"/>
    <col min="7" max="7" width="14.7109375" style="62" hidden="1" customWidth="1"/>
    <col min="8" max="8" width="0" style="62" hidden="1" customWidth="1"/>
    <col min="9" max="9" width="14.7109375" style="62" hidden="1" customWidth="1"/>
    <col min="10" max="10" width="0" style="62" hidden="1" customWidth="1"/>
    <col min="11" max="16384" width="9.140625" style="62" customWidth="1"/>
  </cols>
  <sheetData>
    <row r="1" spans="1:9" ht="22.5">
      <c r="A1" s="63" t="str">
        <f>Info!C7</f>
        <v>BẢNG LƯƠNG NHÂN CÔNG</v>
      </c>
      <c r="B1" s="63"/>
      <c r="C1" s="63"/>
      <c r="D1" s="63"/>
      <c r="E1" s="63"/>
      <c r="F1" s="63"/>
      <c r="G1" s="63"/>
      <c r="H1" s="63"/>
      <c r="I1" s="63"/>
    </row>
    <row r="2" spans="1:9" ht="18.75">
      <c r="A2" s="64" t="str">
        <f>"CÔNG TRÌNH: "&amp;Info!B1</f>
        <v>CÔNG TRÌNH: ĐƠN GIÁ XÂY DỰNG CÔNG TRÌNH</v>
      </c>
      <c r="B2" s="64"/>
      <c r="C2" s="64"/>
      <c r="D2" s="64"/>
      <c r="E2" s="64"/>
      <c r="F2" s="64"/>
      <c r="G2" s="64"/>
      <c r="H2" s="64"/>
      <c r="I2" s="64"/>
    </row>
    <row r="3" spans="1:9" ht="18.75">
      <c r="A3" s="64" t="str">
        <f>"HẠNG MỤC: "&amp;Info!B2</f>
        <v>HẠNG MỤC: XÂY DỰNG MỚI</v>
      </c>
      <c r="B3" s="64"/>
      <c r="C3" s="64"/>
      <c r="D3" s="64"/>
      <c r="E3" s="64"/>
      <c r="F3" s="64"/>
      <c r="G3" s="64"/>
      <c r="H3" s="64"/>
      <c r="I3" s="64"/>
    </row>
    <row r="4" spans="1:10" ht="15.75">
      <c r="A4" s="91"/>
      <c r="B4" s="91"/>
      <c r="C4" s="91"/>
      <c r="D4" s="91"/>
      <c r="E4" s="91"/>
      <c r="F4" s="91"/>
      <c r="G4" s="91"/>
      <c r="H4" s="91"/>
      <c r="I4" s="91"/>
      <c r="J4" s="62">
        <v>1</v>
      </c>
    </row>
    <row r="5" spans="1:9" ht="31.5">
      <c r="A5" s="69" t="s">
        <v>149</v>
      </c>
      <c r="B5" s="69" t="s">
        <v>245</v>
      </c>
      <c r="C5" s="69" t="s">
        <v>152</v>
      </c>
      <c r="D5" s="69" t="s">
        <v>153</v>
      </c>
      <c r="E5" s="69" t="s">
        <v>226</v>
      </c>
      <c r="F5" s="69" t="s">
        <v>246</v>
      </c>
      <c r="G5" s="69"/>
      <c r="H5" s="69" t="s">
        <v>119</v>
      </c>
      <c r="I5" s="69" t="s">
        <v>161</v>
      </c>
    </row>
    <row r="6" spans="1:9" ht="15.75">
      <c r="A6" s="113" t="s">
        <v>179</v>
      </c>
      <c r="B6" s="113" t="s">
        <v>180</v>
      </c>
      <c r="C6" s="113" t="s">
        <v>181</v>
      </c>
      <c r="D6" s="113" t="s">
        <v>182</v>
      </c>
      <c r="E6" s="113" t="s">
        <v>183</v>
      </c>
      <c r="F6" s="113" t="s">
        <v>184</v>
      </c>
      <c r="G6" s="113"/>
      <c r="H6" s="113" t="s">
        <v>185</v>
      </c>
      <c r="I6" s="113" t="s">
        <v>247</v>
      </c>
    </row>
    <row r="7" spans="1:9" ht="15.75">
      <c r="A7" s="114">
        <v>1</v>
      </c>
      <c r="B7" s="115" t="s">
        <v>194</v>
      </c>
      <c r="C7" s="116" t="s">
        <v>196</v>
      </c>
      <c r="D7" s="143">
        <f>SUMPRODUCT((PTDG!C7:PTDG!C24=$B$7)*(PTDG!M7:PTDG!M24=$G$7)*(PTDG!L7:PTDG!L24))</f>
        <v>232.4</v>
      </c>
      <c r="E7" s="132">
        <v>36422</v>
      </c>
      <c r="F7" s="132">
        <v>36422</v>
      </c>
      <c r="G7" s="117" t="s">
        <v>195</v>
      </c>
      <c r="H7" s="140">
        <f>$J$4</f>
        <v>1</v>
      </c>
      <c r="I7" s="118">
        <f>F7*D7</f>
        <v>8464473</v>
      </c>
    </row>
    <row r="8" spans="1:9" ht="15.75">
      <c r="A8" s="123">
        <v>2</v>
      </c>
      <c r="B8" s="124" t="s">
        <v>215</v>
      </c>
      <c r="C8" s="125" t="s">
        <v>217</v>
      </c>
      <c r="D8" s="144">
        <f>SUMPRODUCT((PTDG!C7:PTDG!C24=$B$8)*(PTDG!M7:PTDG!M24=$G$8)*(PTDG!L7:PTDG!L24))</f>
        <v>5</v>
      </c>
      <c r="E8" s="133">
        <v>50000</v>
      </c>
      <c r="F8" s="133">
        <v>50000</v>
      </c>
      <c r="G8" s="99" t="s">
        <v>216</v>
      </c>
      <c r="H8" s="141">
        <f>$J$4</f>
        <v>1</v>
      </c>
      <c r="I8" s="126">
        <f>F8*D8</f>
        <v>250000</v>
      </c>
    </row>
    <row r="9" spans="1:9" ht="15.75">
      <c r="A9" s="90"/>
      <c r="B9" s="90"/>
      <c r="C9" s="90"/>
      <c r="D9" s="90"/>
      <c r="E9" s="90"/>
      <c r="F9" s="90"/>
      <c r="G9" s="90"/>
      <c r="H9" s="90"/>
      <c r="I9" s="90"/>
    </row>
  </sheetData>
  <sheetProtection/>
  <mergeCells count="3">
    <mergeCell ref="A1:I1"/>
    <mergeCell ref="A2:I2"/>
    <mergeCell ref="A3:I3"/>
  </mergeCells>
  <printOptions horizontalCentered="1"/>
  <pageMargins left="0.5" right="0.5" top="0.4" bottom="0.5" header="0.5" footer="0.25"/>
  <pageSetup horizontalDpi="600" verticalDpi="600" orientation="portrait" paperSize="9" r:id="rId1"/>
  <headerFooter alignWithMargins="0">
    <oddFooter>&amp;R&amp;"Times New Roman"&amp;10 Trang &amp;P / &amp;N    *    Tên Công Trình: Đơn Giá Xây Dựng Công Trình - Hạng Mục: Xây Dựng Mới</oddFooter>
  </headerFooter>
</worksheet>
</file>

<file path=xl/worksheets/sheet6.xml><?xml version="1.0" encoding="utf-8"?>
<worksheet xmlns="http://schemas.openxmlformats.org/spreadsheetml/2006/main" xmlns:r="http://schemas.openxmlformats.org/officeDocument/2006/relationships">
  <sheetPr codeName="Sheet15"/>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16"/>
  <dimension ref="A1:M8"/>
  <sheetViews>
    <sheetView view="pageBreakPreview" zoomScaleSheetLayoutView="100" workbookViewId="0" topLeftCell="A1">
      <pane ySplit="6" topLeftCell="BM7" activePane="bottomLeft" state="frozen"/>
      <selection pane="topLeft" activeCell="A1" sqref="A1"/>
      <selection pane="bottomLeft" activeCell="A8" sqref="A8"/>
    </sheetView>
  </sheetViews>
  <sheetFormatPr defaultColWidth="9.140625" defaultRowHeight="12.75"/>
  <cols>
    <col min="1" max="1" width="5.7109375" style="62" customWidth="1"/>
    <col min="2" max="2" width="26.7109375" style="62" customWidth="1"/>
    <col min="3" max="3" width="7.7109375" style="62" customWidth="1"/>
    <col min="4" max="4" width="10.7109375" style="62" customWidth="1"/>
    <col min="5" max="7" width="12.7109375" style="62" customWidth="1"/>
    <col min="8" max="8" width="12.7109375" style="62" hidden="1" customWidth="1"/>
    <col min="9" max="9" width="12.7109375" style="62" customWidth="1"/>
    <col min="10" max="10" width="11.7109375" style="62" hidden="1" customWidth="1"/>
    <col min="11" max="13" width="0" style="62" hidden="1" customWidth="1"/>
    <col min="14" max="16384" width="9.140625" style="62" customWidth="1"/>
  </cols>
  <sheetData>
    <row r="1" spans="1:9" ht="22.5">
      <c r="A1" s="63" t="str">
        <f>Info!B8</f>
        <v>BẢNG GIÁ CA MÁY VÀ THIẾT BỊ THI CÔNG</v>
      </c>
      <c r="B1" s="63"/>
      <c r="C1" s="63"/>
      <c r="D1" s="63"/>
      <c r="E1" s="63"/>
      <c r="F1" s="63"/>
      <c r="G1" s="63"/>
      <c r="H1" s="63"/>
      <c r="I1" s="63"/>
    </row>
    <row r="2" spans="1:9" ht="18.75">
      <c r="A2" s="64" t="str">
        <f>"CÔNG TRÌNH: "&amp;Info!B1</f>
        <v>CÔNG TRÌNH: ĐƠN GIÁ XÂY DỰNG CÔNG TRÌNH</v>
      </c>
      <c r="B2" s="64"/>
      <c r="C2" s="64"/>
      <c r="D2" s="64"/>
      <c r="E2" s="64"/>
      <c r="F2" s="64"/>
      <c r="G2" s="64"/>
      <c r="H2" s="64"/>
      <c r="I2" s="64"/>
    </row>
    <row r="3" spans="1:9" ht="18.75">
      <c r="A3" s="64" t="str">
        <f>"HẠNG MỤC: "&amp;Info!B2</f>
        <v>HẠNG MỤC: XÂY DỰNG MỚI</v>
      </c>
      <c r="B3" s="64"/>
      <c r="C3" s="64"/>
      <c r="D3" s="64"/>
      <c r="E3" s="64"/>
      <c r="F3" s="64"/>
      <c r="G3" s="64"/>
      <c r="H3" s="64"/>
      <c r="I3" s="64"/>
    </row>
    <row r="4" ht="15.75">
      <c r="M4" s="62">
        <v>1</v>
      </c>
    </row>
    <row r="5" spans="1:12" ht="31.5">
      <c r="A5" s="69" t="s">
        <v>149</v>
      </c>
      <c r="B5" s="69" t="s">
        <v>219</v>
      </c>
      <c r="C5" s="69" t="s">
        <v>152</v>
      </c>
      <c r="D5" s="69" t="s">
        <v>153</v>
      </c>
      <c r="E5" s="69" t="s">
        <v>226</v>
      </c>
      <c r="F5" s="69" t="s">
        <v>239</v>
      </c>
      <c r="G5" s="69" t="s">
        <v>240</v>
      </c>
      <c r="H5" s="69" t="s">
        <v>241</v>
      </c>
      <c r="I5" s="69" t="s">
        <v>230</v>
      </c>
      <c r="J5" s="69"/>
      <c r="K5" s="69" t="s">
        <v>119</v>
      </c>
      <c r="L5" s="69" t="s">
        <v>161</v>
      </c>
    </row>
    <row r="6" spans="1:12" ht="25.5">
      <c r="A6" s="113" t="s">
        <v>179</v>
      </c>
      <c r="B6" s="113" t="s">
        <v>180</v>
      </c>
      <c r="C6" s="113" t="s">
        <v>181</v>
      </c>
      <c r="D6" s="113" t="s">
        <v>182</v>
      </c>
      <c r="E6" s="113" t="s">
        <v>183</v>
      </c>
      <c r="F6" s="113" t="s">
        <v>184</v>
      </c>
      <c r="G6" s="113" t="s">
        <v>185</v>
      </c>
      <c r="H6" s="113" t="s">
        <v>185</v>
      </c>
      <c r="I6" s="113" t="s">
        <v>186</v>
      </c>
      <c r="J6" s="113"/>
      <c r="K6" s="113" t="s">
        <v>187</v>
      </c>
      <c r="L6" s="113" t="s">
        <v>242</v>
      </c>
    </row>
    <row r="7" spans="1:12" ht="15.75">
      <c r="A7" s="114">
        <v>1</v>
      </c>
      <c r="B7" s="115" t="s">
        <v>213</v>
      </c>
      <c r="C7" s="116" t="s">
        <v>212</v>
      </c>
      <c r="D7" s="130">
        <f>ROUND(SUMPRODUCT((PTDG!C7:PTDG!C24=$B$7)*(PTDG!M7:PTDG!M24=$J$7)*(PTDG!L7:PTDG!L24)),3)</f>
        <v>10.68</v>
      </c>
      <c r="E7" s="132">
        <v>50069</v>
      </c>
      <c r="F7" s="117">
        <f>BuNL!$G$18</f>
        <v>1</v>
      </c>
      <c r="G7" s="132">
        <f>SUMPRODUCT((BuNL!B8:BuNL!B9=$B$7)*(BuNL!Q8:BuNL!Q9=$J$7)*(BuNL!N8:BuNL!N9))</f>
        <v>0</v>
      </c>
      <c r="H7" s="132"/>
      <c r="I7" s="132">
        <f>ROUND(E7*IF(F7=0,1,F7)+G7,0)</f>
        <v>50069</v>
      </c>
      <c r="J7" s="117" t="s">
        <v>214</v>
      </c>
      <c r="K7" s="140">
        <f>$M$4</f>
        <v>1</v>
      </c>
      <c r="L7" s="118">
        <f>ROUND(I7*D7*K7,0)</f>
        <v>534737</v>
      </c>
    </row>
    <row r="8" spans="1:12" ht="15.75">
      <c r="A8" s="123">
        <v>2</v>
      </c>
      <c r="B8" s="124" t="s">
        <v>210</v>
      </c>
      <c r="C8" s="125" t="s">
        <v>212</v>
      </c>
      <c r="D8" s="131">
        <f>ROUND(SUMPRODUCT((PTDG!C7:PTDG!C24=$B$8)*(PTDG!M7:PTDG!M24=$J$8)*(PTDG!L7:PTDG!L24)),3)</f>
        <v>11.4</v>
      </c>
      <c r="E8" s="133">
        <v>134780</v>
      </c>
      <c r="F8" s="99">
        <f>BuNL!$G$18</f>
        <v>1</v>
      </c>
      <c r="G8" s="133">
        <f>SUMPRODUCT((BuNL!B8:BuNL!B9=$B$8)*(BuNL!Q8:BuNL!Q9=$J$8)*(BuNL!N8:BuNL!N9))</f>
        <v>0</v>
      </c>
      <c r="H8" s="133"/>
      <c r="I8" s="133">
        <f>ROUND(E8*IF(F8=0,1,F8)+G8,0)</f>
        <v>134780</v>
      </c>
      <c r="J8" s="99" t="s">
        <v>211</v>
      </c>
      <c r="K8" s="141">
        <f>$M$4</f>
        <v>1</v>
      </c>
      <c r="L8" s="126">
        <f>ROUND(I8*D8*K8,0)</f>
        <v>1536492</v>
      </c>
    </row>
  </sheetData>
  <mergeCells count="3">
    <mergeCell ref="A1:I1"/>
    <mergeCell ref="A2:I2"/>
    <mergeCell ref="A3:I3"/>
  </mergeCells>
  <printOptions horizontalCentered="1"/>
  <pageMargins left="0" right="0" top="0.4" bottom="0.5" header="0.5" footer="0.25"/>
  <pageSetup horizontalDpi="600" verticalDpi="600" orientation="landscape" paperSize="9" r:id="rId1"/>
  <headerFooter alignWithMargins="0">
    <oddFooter>&amp;R&amp;"Times New Roman"&amp;10 Trang &amp;P / &amp;N    *    Tên Công Trình: Đơn Giá Xây Dựng Công Trình - Hạng Mục: Xây Dựng Mới</oddFooter>
  </headerFooter>
</worksheet>
</file>

<file path=xl/worksheets/sheet8.xml><?xml version="1.0" encoding="utf-8"?>
<worksheet xmlns="http://schemas.openxmlformats.org/spreadsheetml/2006/main" xmlns:r="http://schemas.openxmlformats.org/officeDocument/2006/relationships">
  <sheetPr codeName="Sheet5"/>
  <dimension ref="A1:Q18"/>
  <sheetViews>
    <sheetView view="pageBreakPreview" zoomScaleSheetLayoutView="100" zoomScalePageLayoutView="0" workbookViewId="0" topLeftCell="A1">
      <pane ySplit="7" topLeftCell="BM8" activePane="bottomLeft" state="frozen"/>
      <selection pane="topLeft" activeCell="A1" sqref="A1"/>
      <selection pane="bottomLeft" activeCell="A8" sqref="A8"/>
    </sheetView>
  </sheetViews>
  <sheetFormatPr defaultColWidth="9.140625" defaultRowHeight="12.75"/>
  <cols>
    <col min="1" max="1" width="5.7109375" style="62" customWidth="1"/>
    <col min="2" max="2" width="22.7109375" style="62" customWidth="1"/>
    <col min="3" max="3" width="7.7109375" style="62" customWidth="1"/>
    <col min="4" max="4" width="9.7109375" style="62" customWidth="1"/>
    <col min="5" max="12" width="7.7109375" style="62" customWidth="1"/>
    <col min="13" max="14" width="12.7109375" style="62" customWidth="1"/>
    <col min="15" max="15" width="12.7109375" style="62" hidden="1" customWidth="1"/>
    <col min="16" max="16" width="4.7109375" style="62" customWidth="1"/>
    <col min="17" max="17" width="0" style="62" hidden="1" customWidth="1"/>
    <col min="18" max="16384" width="9.140625" style="62" customWidth="1"/>
  </cols>
  <sheetData>
    <row r="1" spans="1:16" ht="22.5">
      <c r="A1" s="63" t="str">
        <f>Info!C8</f>
        <v>TỔNG HỢP CA MÁY - BÙ CHÊNH LỆCH NHIÊN LIỆU</v>
      </c>
      <c r="B1" s="63"/>
      <c r="C1" s="63"/>
      <c r="D1" s="63"/>
      <c r="E1" s="63"/>
      <c r="F1" s="63"/>
      <c r="G1" s="63"/>
      <c r="H1" s="63"/>
      <c r="I1" s="63"/>
      <c r="J1" s="63"/>
      <c r="K1" s="63"/>
      <c r="L1" s="63"/>
      <c r="M1" s="63"/>
      <c r="N1" s="63"/>
      <c r="O1" s="63"/>
      <c r="P1" s="63"/>
    </row>
    <row r="2" spans="1:16" ht="18.75">
      <c r="A2" s="64" t="str">
        <f>"CÔNG TRÌNH: "&amp;Info!B1</f>
        <v>CÔNG TRÌNH: ĐƠN GIÁ XÂY DỰNG CÔNG TRÌNH</v>
      </c>
      <c r="B2" s="64"/>
      <c r="C2" s="64"/>
      <c r="D2" s="64"/>
      <c r="E2" s="64"/>
      <c r="F2" s="64"/>
      <c r="G2" s="64"/>
      <c r="H2" s="64"/>
      <c r="I2" s="64"/>
      <c r="J2" s="64"/>
      <c r="K2" s="64"/>
      <c r="L2" s="64"/>
      <c r="M2" s="64"/>
      <c r="N2" s="64"/>
      <c r="O2" s="64"/>
      <c r="P2" s="64"/>
    </row>
    <row r="3" spans="1:16" ht="18.75">
      <c r="A3" s="64" t="str">
        <f>"HẠNG MỤC: "&amp;Info!B2</f>
        <v>HẠNG MỤC: XÂY DỰNG MỚI</v>
      </c>
      <c r="B3" s="64"/>
      <c r="C3" s="64"/>
      <c r="D3" s="64"/>
      <c r="E3" s="64"/>
      <c r="F3" s="64"/>
      <c r="G3" s="64"/>
      <c r="H3" s="64"/>
      <c r="I3" s="64"/>
      <c r="J3" s="64"/>
      <c r="K3" s="64"/>
      <c r="L3" s="64"/>
      <c r="M3" s="64"/>
      <c r="N3" s="64"/>
      <c r="O3" s="64"/>
      <c r="P3" s="64"/>
    </row>
    <row r="5" spans="1:16" ht="15.75">
      <c r="A5" s="68" t="s">
        <v>149</v>
      </c>
      <c r="B5" s="68" t="s">
        <v>219</v>
      </c>
      <c r="C5" s="68" t="s">
        <v>152</v>
      </c>
      <c r="D5" s="68" t="s">
        <v>153</v>
      </c>
      <c r="E5" s="68" t="s">
        <v>220</v>
      </c>
      <c r="F5" s="68"/>
      <c r="G5" s="68"/>
      <c r="H5" s="68"/>
      <c r="I5" s="68" t="s">
        <v>225</v>
      </c>
      <c r="J5" s="68"/>
      <c r="K5" s="68"/>
      <c r="L5" s="68"/>
      <c r="M5" s="68" t="s">
        <v>226</v>
      </c>
      <c r="N5" s="68" t="s">
        <v>228</v>
      </c>
      <c r="O5" s="68" t="s">
        <v>230</v>
      </c>
      <c r="P5" s="68" t="s">
        <v>232</v>
      </c>
    </row>
    <row r="6" spans="1:16" ht="15.75">
      <c r="A6" s="68"/>
      <c r="B6" s="68"/>
      <c r="C6" s="68"/>
      <c r="D6" s="68"/>
      <c r="E6" s="69" t="s">
        <v>221</v>
      </c>
      <c r="F6" s="69" t="s">
        <v>222</v>
      </c>
      <c r="G6" s="69" t="s">
        <v>223</v>
      </c>
      <c r="H6" s="69" t="s">
        <v>224</v>
      </c>
      <c r="I6" s="69" t="s">
        <v>221</v>
      </c>
      <c r="J6" s="69" t="s">
        <v>222</v>
      </c>
      <c r="K6" s="69" t="s">
        <v>223</v>
      </c>
      <c r="L6" s="69" t="s">
        <v>224</v>
      </c>
      <c r="M6" s="68"/>
      <c r="N6" s="68"/>
      <c r="O6" s="68"/>
      <c r="P6" s="68"/>
    </row>
    <row r="7" spans="1:16" ht="15.75">
      <c r="A7" s="113" t="s">
        <v>179</v>
      </c>
      <c r="B7" s="113" t="s">
        <v>180</v>
      </c>
      <c r="C7" s="113" t="s">
        <v>181</v>
      </c>
      <c r="D7" s="113" t="s">
        <v>182</v>
      </c>
      <c r="E7" s="113" t="s">
        <v>183</v>
      </c>
      <c r="F7" s="113" t="s">
        <v>184</v>
      </c>
      <c r="G7" s="113" t="s">
        <v>185</v>
      </c>
      <c r="H7" s="113" t="s">
        <v>186</v>
      </c>
      <c r="I7" s="113" t="s">
        <v>187</v>
      </c>
      <c r="J7" s="113" t="s">
        <v>188</v>
      </c>
      <c r="K7" s="113" t="s">
        <v>189</v>
      </c>
      <c r="L7" s="113" t="s">
        <v>190</v>
      </c>
      <c r="M7" s="113" t="s">
        <v>227</v>
      </c>
      <c r="N7" s="113" t="s">
        <v>229</v>
      </c>
      <c r="O7" s="113" t="s">
        <v>231</v>
      </c>
      <c r="P7" s="113" t="s">
        <v>233</v>
      </c>
    </row>
    <row r="8" spans="1:17" ht="15.75">
      <c r="A8" s="114">
        <v>1</v>
      </c>
      <c r="B8" s="115" t="s">
        <v>213</v>
      </c>
      <c r="C8" s="116" t="s">
        <v>212</v>
      </c>
      <c r="D8" s="134">
        <f>ROUND(SUMPRODUCT((PTDG!C7:PTDG!C24=$B$8)*(PTDG!M7:PTDG!M24=$Q$8)*(PTDG!L7:PTDG!L24)),3)</f>
        <v>10.68</v>
      </c>
      <c r="E8" s="135">
        <v>0</v>
      </c>
      <c r="F8" s="135">
        <v>0</v>
      </c>
      <c r="G8" s="135">
        <v>4.5</v>
      </c>
      <c r="H8" s="135">
        <v>0</v>
      </c>
      <c r="I8" s="135">
        <f>D8*E8</f>
        <v>0</v>
      </c>
      <c r="J8" s="135">
        <f>D8*F8</f>
        <v>0</v>
      </c>
      <c r="K8" s="135">
        <f>D8*G8</f>
        <v>48.06</v>
      </c>
      <c r="L8" s="135">
        <f>D8*H8</f>
        <v>0</v>
      </c>
      <c r="M8" s="136">
        <v>50069</v>
      </c>
      <c r="N8" s="136">
        <f>E8*($F$14-$B$14)*(1+$C$18)+F8*($G$14-$C$14)*(1+$D$18)+G8*($H$14-$D$14)*(1+$E$18)+H8*($I$14-$E$14)*(1+$F$18)</f>
        <v>0</v>
      </c>
      <c r="O8" s="136">
        <f>ROUND(M8*IF($G$18=0,1,IF($G$18="",1,$G$18))+N8,0)</f>
        <v>50069</v>
      </c>
      <c r="P8" s="117">
        <v>305</v>
      </c>
      <c r="Q8" s="62" t="s">
        <v>214</v>
      </c>
    </row>
    <row r="9" spans="1:17" ht="15.75">
      <c r="A9" s="123">
        <v>2</v>
      </c>
      <c r="B9" s="124" t="s">
        <v>210</v>
      </c>
      <c r="C9" s="125" t="s">
        <v>212</v>
      </c>
      <c r="D9" s="137">
        <f>ROUND(SUMPRODUCT((PTDG!C7:PTDG!C24=$B$9)*(PTDG!M7:PTDG!M24=$Q$9)*(PTDG!L7:PTDG!L24)),3)</f>
        <v>11.4</v>
      </c>
      <c r="E9" s="138">
        <v>0</v>
      </c>
      <c r="F9" s="138">
        <v>0</v>
      </c>
      <c r="G9" s="138">
        <v>10.8</v>
      </c>
      <c r="H9" s="138">
        <v>0</v>
      </c>
      <c r="I9" s="138">
        <f>D9*E9</f>
        <v>0</v>
      </c>
      <c r="J9" s="138">
        <f>D9*F9</f>
        <v>0</v>
      </c>
      <c r="K9" s="138">
        <f>D9*G9</f>
        <v>123.12</v>
      </c>
      <c r="L9" s="138">
        <f>D9*H9</f>
        <v>0</v>
      </c>
      <c r="M9" s="139">
        <v>134780</v>
      </c>
      <c r="N9" s="139">
        <f>E9*($F$14-$B$14)*(1+$C$18)+F9*($G$14-$C$14)*(1+$D$18)+G9*($H$14-$D$14)*(1+$E$18)+H9*($I$14-$E$14)*(1+$F$18)</f>
        <v>0</v>
      </c>
      <c r="O9" s="139">
        <f>ROUND(M9*IF($G$18=0,1,IF($G$18="",1,$G$18))+N9,0)</f>
        <v>134780</v>
      </c>
      <c r="P9" s="99">
        <v>270</v>
      </c>
      <c r="Q9" s="62" t="s">
        <v>211</v>
      </c>
    </row>
    <row r="11" spans="1:13" ht="15.75">
      <c r="A11" s="65"/>
      <c r="B11" s="68" t="s">
        <v>226</v>
      </c>
      <c r="C11" s="68"/>
      <c r="D11" s="68"/>
      <c r="E11" s="68"/>
      <c r="F11" s="68" t="str">
        <f>" Giá T"&amp;Info!B39&amp;"/"&amp;Info!B40</f>
        <v> Giá T11/2013</v>
      </c>
      <c r="G11" s="68"/>
      <c r="H11" s="68"/>
      <c r="I11" s="68"/>
      <c r="J11" s="68" t="s">
        <v>234</v>
      </c>
      <c r="K11" s="68"/>
      <c r="L11" s="68"/>
      <c r="M11" s="68"/>
    </row>
    <row r="12" spans="1:13" ht="15.75">
      <c r="A12" s="65"/>
      <c r="B12" s="88" t="s">
        <v>221</v>
      </c>
      <c r="C12" s="88" t="s">
        <v>222</v>
      </c>
      <c r="D12" s="88" t="s">
        <v>223</v>
      </c>
      <c r="E12" s="88" t="s">
        <v>224</v>
      </c>
      <c r="F12" s="88" t="s">
        <v>221</v>
      </c>
      <c r="G12" s="88" t="s">
        <v>222</v>
      </c>
      <c r="H12" s="88" t="s">
        <v>223</v>
      </c>
      <c r="I12" s="88" t="s">
        <v>224</v>
      </c>
      <c r="J12" s="88" t="s">
        <v>221</v>
      </c>
      <c r="K12" s="88" t="s">
        <v>222</v>
      </c>
      <c r="L12" s="88" t="s">
        <v>223</v>
      </c>
      <c r="M12" s="88" t="s">
        <v>224</v>
      </c>
    </row>
    <row r="13" spans="1:13" ht="15.75">
      <c r="A13" s="65"/>
      <c r="B13" s="74" t="s">
        <v>235</v>
      </c>
      <c r="C13" s="74" t="s">
        <v>235</v>
      </c>
      <c r="D13" s="74" t="s">
        <v>236</v>
      </c>
      <c r="E13" s="74" t="s">
        <v>235</v>
      </c>
      <c r="F13" s="74" t="s">
        <v>235</v>
      </c>
      <c r="G13" s="74" t="s">
        <v>235</v>
      </c>
      <c r="H13" s="74" t="s">
        <v>236</v>
      </c>
      <c r="I13" s="74" t="s">
        <v>235</v>
      </c>
      <c r="J13" s="74" t="s">
        <v>235</v>
      </c>
      <c r="K13" s="74" t="s">
        <v>235</v>
      </c>
      <c r="L13" s="74" t="s">
        <v>236</v>
      </c>
      <c r="M13" s="74" t="s">
        <v>235</v>
      </c>
    </row>
    <row r="14" spans="2:14" ht="15.75">
      <c r="B14" s="79">
        <v>0</v>
      </c>
      <c r="C14" s="79">
        <v>0</v>
      </c>
      <c r="D14" s="79">
        <v>0</v>
      </c>
      <c r="E14" s="79">
        <v>0</v>
      </c>
      <c r="F14" s="79">
        <v>0</v>
      </c>
      <c r="G14" s="79">
        <v>0</v>
      </c>
      <c r="H14" s="79">
        <v>0</v>
      </c>
      <c r="I14" s="79">
        <v>0</v>
      </c>
      <c r="J14" s="79">
        <f>F14-B14</f>
        <v>0</v>
      </c>
      <c r="K14" s="79">
        <f>G14-C14</f>
        <v>0</v>
      </c>
      <c r="L14" s="79">
        <f>H14-D14</f>
        <v>0</v>
      </c>
      <c r="M14" s="79">
        <f>I14-E14</f>
        <v>0</v>
      </c>
      <c r="N14" s="73"/>
    </row>
    <row r="16" spans="3:8" ht="15.75">
      <c r="C16" s="68" t="s">
        <v>237</v>
      </c>
      <c r="D16" s="68"/>
      <c r="E16" s="68"/>
      <c r="F16" s="127"/>
      <c r="G16" s="127" t="s">
        <v>238</v>
      </c>
      <c r="H16" s="127"/>
    </row>
    <row r="17" spans="3:8" ht="15.75">
      <c r="C17" s="69" t="s">
        <v>221</v>
      </c>
      <c r="D17" s="69" t="s">
        <v>222</v>
      </c>
      <c r="E17" s="69" t="s">
        <v>223</v>
      </c>
      <c r="F17" s="128" t="s">
        <v>224</v>
      </c>
      <c r="G17" s="127"/>
      <c r="H17" s="127"/>
    </row>
    <row r="18" spans="3:8" ht="15.75">
      <c r="C18" s="77">
        <v>0.05</v>
      </c>
      <c r="D18" s="77">
        <v>0.03</v>
      </c>
      <c r="E18" s="77">
        <v>0.07</v>
      </c>
      <c r="F18" s="77">
        <v>0</v>
      </c>
      <c r="G18" s="129">
        <v>1</v>
      </c>
      <c r="H18" s="129"/>
    </row>
  </sheetData>
  <sheetProtection/>
  <mergeCells count="19">
    <mergeCell ref="C16:F16"/>
    <mergeCell ref="G16:H17"/>
    <mergeCell ref="G18:H18"/>
    <mergeCell ref="N5:N6"/>
    <mergeCell ref="O5:O6"/>
    <mergeCell ref="P5:P6"/>
    <mergeCell ref="B11:E11"/>
    <mergeCell ref="F11:I11"/>
    <mergeCell ref="J11:M11"/>
    <mergeCell ref="A1:P1"/>
    <mergeCell ref="A2:P2"/>
    <mergeCell ref="A3:P3"/>
    <mergeCell ref="A5:A6"/>
    <mergeCell ref="B5:B6"/>
    <mergeCell ref="C5:C6"/>
    <mergeCell ref="D5:D6"/>
    <mergeCell ref="E5:H5"/>
    <mergeCell ref="I5:L5"/>
    <mergeCell ref="M5:M6"/>
  </mergeCells>
  <printOptions horizontalCentered="1"/>
  <pageMargins left="0" right="0" top="0.4" bottom="0.5" header="0.5" footer="0.25"/>
  <pageSetup horizontalDpi="600" verticalDpi="600" orientation="landscape" paperSize="9" r:id="rId1"/>
  <headerFooter alignWithMargins="0">
    <oddFooter>&amp;R&amp;"Times New Roman"&amp;10 Trang &amp;P / &amp;N    *    Tên Công Trình: Đơn Giá Xây Dựng Công Trình - Hạng Mục: Xây Dựng Mới</oddFooter>
  </headerFooter>
</worksheet>
</file>

<file path=xl/worksheets/sheet9.xml><?xml version="1.0" encoding="utf-8"?>
<worksheet xmlns="http://schemas.openxmlformats.org/spreadsheetml/2006/main" xmlns:r="http://schemas.openxmlformats.org/officeDocument/2006/relationships">
  <sheetPr codeName="Sheet17"/>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Vunt</Manager>
  <Company>Quyet Toan Co.,Ltd * Tel: 0918224540 * Fax: (08)3 9691504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 SO DU TOAN - PP PHAN TICH DON GIA CHI TIET</dc:title>
  <dc:subject>ADTPro Version 8.5.44 (2013)</dc:subject>
  <dc:creator>VHM</dc:creator>
  <cp:keywords>Du toan, Du thau, ADTPro</cp:keywords>
  <dc:description>ADTPro Version 8.5.44 (2013) - Phan mem Lap du toan, du thau chuyen nghiep, tien ich, than thien</dc:description>
  <cp:lastModifiedBy>Vunt</cp:lastModifiedBy>
  <cp:lastPrinted>2013-11-18T15:40:36Z</cp:lastPrinted>
  <dcterms:created xsi:type="dcterms:W3CDTF">2004-11-26T06:40:11Z</dcterms:created>
  <dcterms:modified xsi:type="dcterms:W3CDTF">2013-11-18T15:42:02Z</dcterms:modified>
  <cp:category>www.quyettoan.vn  -  www.dutoan.com.vn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rConn">
    <vt:lpwstr>D:\Projects\Products\Release6.0\ADTPro 8.5.44.mdb</vt:lpwstr>
  </property>
  <property fmtid="{D5CDD505-2E9C-101B-9397-08002B2CF9AE}" pid="3" name="Where">
    <vt:lpwstr>0</vt:lpwstr>
  </property>
  <property fmtid="{D5CDD505-2E9C-101B-9397-08002B2CF9AE}" pid="4" name="Where1">
    <vt:lpwstr>CT001</vt:lpwstr>
  </property>
  <property fmtid="{D5CDD505-2E9C-101B-9397-08002B2CF9AE}" pid="5" name="Where2">
    <vt:lpwstr>ĐƠN GIÁ XÂY DỰNG CÔNG TRÌNH</vt:lpwstr>
  </property>
  <property fmtid="{D5CDD505-2E9C-101B-9397-08002B2CF9AE}" pid="6" name="Where4">
    <vt:lpwstr>BẢNG KHỐI LƯỢNG</vt:lpwstr>
  </property>
  <property fmtid="{D5CDD505-2E9C-101B-9397-08002B2CF9AE}" pid="7" name="Where3">
    <vt:lpwstr>Xây dựng mới</vt:lpwstr>
  </property>
  <property fmtid="{D5CDD505-2E9C-101B-9397-08002B2CF9AE}" pid="8" name="Where5">
    <vt:lpwstr>-1</vt:lpwstr>
  </property>
  <property fmtid="{D5CDD505-2E9C-101B-9397-08002B2CF9AE}" pid="9" name="Where6">
    <vt:lpwstr>3</vt:lpwstr>
  </property>
  <property fmtid="{D5CDD505-2E9C-101B-9397-08002B2CF9AE}" pid="10" name="Where7">
    <vt:lpwstr>3</vt:lpwstr>
  </property>
  <property fmtid="{D5CDD505-2E9C-101B-9397-08002B2CF9AE}" pid="11" name="Where8">
    <vt:lpwstr>-1</vt:lpwstr>
  </property>
  <property fmtid="{D5CDD505-2E9C-101B-9397-08002B2CF9AE}" pid="12" name="Where9">
    <vt:lpwstr>CT001</vt:lpwstr>
  </property>
  <property fmtid="{D5CDD505-2E9C-101B-9397-08002B2CF9AE}" pid="13" name="Where10">
    <vt:lpwstr/>
  </property>
  <property fmtid="{D5CDD505-2E9C-101B-9397-08002B2CF9AE}" pid="14" name="Where11">
    <vt:lpwstr/>
  </property>
  <property fmtid="{D5CDD505-2E9C-101B-9397-08002B2CF9AE}" pid="15" name="Where12">
    <vt:lpwstr/>
  </property>
  <property fmtid="{D5CDD505-2E9C-101B-9397-08002B2CF9AE}" pid="16" name="Where13">
    <vt:lpwstr>D:\Projects\Products\Release6.0\Report\info.xml</vt:lpwstr>
  </property>
  <property fmtid="{D5CDD505-2E9C-101B-9397-08002B2CF9AE}" pid="17" name="Version">
    <vt:lpwstr>ADTPro Version 8.5.44 (2013)</vt:lpwstr>
  </property>
  <property fmtid="{D5CDD505-2E9C-101B-9397-08002B2CF9AE}" pid="18" name="FirstRow">
    <vt:lpwstr>11</vt:lpwstr>
  </property>
  <property fmtid="{D5CDD505-2E9C-101B-9397-08002B2CF9AE}" pid="19" name="LastRow">
    <vt:lpwstr>42</vt:lpwstr>
  </property>
  <property fmtid="{D5CDD505-2E9C-101B-9397-08002B2CF9AE}" pid="20" name="Col">
    <vt:lpwstr>5</vt:lpwstr>
  </property>
  <property fmtid="{D5CDD505-2E9C-101B-9397-08002B2CF9AE}" pid="21" name="DecimalInfo">
    <vt:lpwstr>,</vt:lpwstr>
  </property>
</Properties>
</file>